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8680" yWindow="-120" windowWidth="29040" windowHeight="15840" activeTab="5"/>
  </bookViews>
  <sheets>
    <sheet name="CONTRATOS FUNDEP" sheetId="1" r:id="rId1"/>
    <sheet name="PESSOAL ENVOLVIDO FUNDEP" sheetId="2" r:id="rId2"/>
    <sheet name="CONTRATOS FEPE" sheetId="3" r:id="rId3"/>
    <sheet name="PESSOAL ENVOLVIDO FEPE" sheetId="4" r:id="rId4"/>
    <sheet name="CONTRATOS FCO" sheetId="5" r:id="rId5"/>
    <sheet name="PESSOAL ENVOLVIDO FCO" sheetId="6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6"/>
  <c r="G19"/>
  <c r="G18"/>
  <c r="G17"/>
  <c r="G16"/>
  <c r="G28"/>
  <c r="G27"/>
  <c r="G26"/>
  <c r="G25"/>
  <c r="G24"/>
  <c r="G23"/>
  <c r="G22"/>
  <c r="G21"/>
  <c r="G41"/>
  <c r="G40"/>
  <c r="G39"/>
  <c r="G38"/>
  <c r="G37"/>
  <c r="G36"/>
  <c r="G35"/>
  <c r="G32"/>
  <c r="G31"/>
  <c r="G30"/>
  <c r="G29"/>
  <c r="G46"/>
  <c r="G47"/>
  <c r="G45"/>
  <c r="G44"/>
  <c r="G43"/>
  <c r="G42"/>
  <c r="G49" l="1"/>
  <c r="G50"/>
  <c r="G19" i="5" l="1"/>
  <c r="G28" i="2"/>
  <c r="G27"/>
  <c r="G26"/>
  <c r="G25"/>
  <c r="G29" i="4" l="1"/>
  <c r="G25"/>
  <c r="G26"/>
  <c r="G28"/>
  <c r="G27"/>
  <c r="G24"/>
  <c r="G20"/>
  <c r="G21"/>
  <c r="G22"/>
  <c r="G19"/>
  <c r="G23"/>
  <c r="G18"/>
  <c r="G16"/>
  <c r="G17"/>
  <c r="H16" i="3"/>
  <c r="H17"/>
  <c r="I16"/>
  <c r="I17"/>
  <c r="H14"/>
  <c r="H15"/>
  <c r="I15"/>
  <c r="I14"/>
  <c r="F33" i="1"/>
  <c r="F30" l="1"/>
  <c r="F28"/>
  <c r="F26"/>
  <c r="F24"/>
  <c r="F22"/>
  <c r="F19"/>
  <c r="J15" i="2"/>
  <c r="G24"/>
  <c r="G23"/>
  <c r="G22"/>
  <c r="G21"/>
  <c r="G20"/>
  <c r="G19"/>
  <c r="G18"/>
  <c r="G16" i="1"/>
  <c r="F16"/>
</calcChain>
</file>

<file path=xl/comments1.xml><?xml version="1.0" encoding="utf-8"?>
<comments xmlns="http://schemas.openxmlformats.org/spreadsheetml/2006/main">
  <authors>
    <author>Laysse</author>
  </authors>
  <commentList>
    <comment ref="B18" authorId="0">
      <text>
        <r>
          <rPr>
            <sz val="9"/>
            <color indexed="81"/>
            <rFont val="Tahoma"/>
            <family val="2"/>
          </rPr>
          <t xml:space="preserve">
Termo de Cooperação</t>
        </r>
      </text>
    </comment>
  </commentList>
</comments>
</file>

<file path=xl/comments2.xml><?xml version="1.0" encoding="utf-8"?>
<comments xmlns="http://schemas.openxmlformats.org/spreadsheetml/2006/main">
  <authors>
    <author>Laysse</author>
  </authors>
  <commentList>
    <comment ref="B29" authorId="0">
      <text>
        <r>
          <rPr>
            <sz val="9"/>
            <color indexed="81"/>
            <rFont val="Tahoma"/>
            <family val="2"/>
          </rPr>
          <t xml:space="preserve">
Termo de Cooperação</t>
        </r>
      </text>
    </comment>
  </commentList>
</comments>
</file>

<file path=xl/sharedStrings.xml><?xml version="1.0" encoding="utf-8"?>
<sst xmlns="http://schemas.openxmlformats.org/spreadsheetml/2006/main" count="835" uniqueCount="267">
  <si>
    <t>UNIVERSIDADE FEDERAL DE MINAS GERAIS</t>
  </si>
  <si>
    <t>UG SIGNATÁRIA DO CONTRATO</t>
  </si>
  <si>
    <t>NOME DO DIRIGENTE MÁXIMO DA IFES</t>
  </si>
  <si>
    <t>Sandra Regina Goulart Almeida</t>
  </si>
  <si>
    <t>NOME DA FUNDAÇÃO DE APOIO</t>
  </si>
  <si>
    <t>SIGLA DA FUNDAÇÃO DE APOIO</t>
  </si>
  <si>
    <t>CNPJ DA FUNDAÇÃO DE APOIO</t>
  </si>
  <si>
    <t>N°</t>
  </si>
  <si>
    <t xml:space="preserve">N° INSTRUMENTO </t>
  </si>
  <si>
    <t xml:space="preserve">NR.DO </t>
  </si>
  <si>
    <t>Nº DO CONTRATO</t>
  </si>
  <si>
    <t xml:space="preserve">NOME DO </t>
  </si>
  <si>
    <t xml:space="preserve">VR DO </t>
  </si>
  <si>
    <t>VR. *</t>
  </si>
  <si>
    <t>VR**</t>
  </si>
  <si>
    <t>VR***</t>
  </si>
  <si>
    <t>DATA INÍCIO</t>
  </si>
  <si>
    <t>DATA FIM</t>
  </si>
  <si>
    <t>FINALIDADE:</t>
  </si>
  <si>
    <t>COORDENADOR</t>
  </si>
  <si>
    <t>Ordem</t>
  </si>
  <si>
    <t>E ADITIVOS</t>
  </si>
  <si>
    <t>PROCESSO</t>
  </si>
  <si>
    <t>NA FUNDAÇÃO</t>
  </si>
  <si>
    <t>PROJETO</t>
  </si>
  <si>
    <t>CONTRATO</t>
  </si>
  <si>
    <t>REPASSADO</t>
  </si>
  <si>
    <t xml:space="preserve">DESPESAS TOTAL </t>
  </si>
  <si>
    <t>RECEITAS</t>
  </si>
  <si>
    <t>OPERACIONAL</t>
  </si>
  <si>
    <t>DA VIGÊNCIA</t>
  </si>
  <si>
    <t>ENSINO, PESQUISA, EXTENSÃO</t>
  </si>
  <si>
    <t xml:space="preserve">DO </t>
  </si>
  <si>
    <t>DE DISPENSA</t>
  </si>
  <si>
    <t>DE APOIO</t>
  </si>
  <si>
    <t>(EM REAIS)</t>
  </si>
  <si>
    <t>dd/mm/aaaa</t>
  </si>
  <si>
    <t>DESEN. INSTITUCIONAL, CIENTÍFICO E TECNOLÓGICO.</t>
  </si>
  <si>
    <t xml:space="preserve"> </t>
  </si>
  <si>
    <t>Ass:</t>
  </si>
  <si>
    <t>RESPONSÁVEL PELO SETOR CONTÁBIL/FINANCEIRO</t>
  </si>
  <si>
    <t>ORDENADOR DE DESPESA</t>
  </si>
  <si>
    <t>NOME</t>
  </si>
  <si>
    <t>CPF</t>
  </si>
  <si>
    <t>TEL.</t>
  </si>
  <si>
    <t>OBS: Pagina inferior  deve ter no mínimo 2,5cm- Papel A4</t>
  </si>
  <si>
    <t>RECURSOS DA UFMG ENVOLVIDOS NOS PROJETOS</t>
  </si>
  <si>
    <t>RECURSOS HUMANOS DA UFMG ENVOLVIDOS NOS PROJETOS</t>
  </si>
  <si>
    <t>N° CONTRATO</t>
  </si>
  <si>
    <t>NR.DO PROCESSO</t>
  </si>
  <si>
    <t xml:space="preserve">NÚMERO </t>
  </si>
  <si>
    <t>SERVIDOR**</t>
  </si>
  <si>
    <t>CARGA HORÁRIA</t>
  </si>
  <si>
    <t>REMUNERAÇÃO</t>
  </si>
  <si>
    <t>BOLSA DE PESQUISA</t>
  </si>
  <si>
    <t>ORDEM</t>
  </si>
  <si>
    <t>FUNDEP</t>
  </si>
  <si>
    <t>ENVOLVIDO</t>
  </si>
  <si>
    <t>EFETIVAMENTE DEDICADA</t>
  </si>
  <si>
    <t>RECEBIDA PELA</t>
  </si>
  <si>
    <t xml:space="preserve">OU </t>
  </si>
  <si>
    <t>AO CONTRATO</t>
  </si>
  <si>
    <t>PARTICIPANTE</t>
  </si>
  <si>
    <t>DE ENSINO</t>
  </si>
  <si>
    <t>NO PROJETO</t>
  </si>
  <si>
    <t>DE EXTENSÃO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</si>
  <si>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</si>
  <si>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</si>
  <si>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</si>
  <si>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</si>
  <si>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>Servidor ** Apenas servidores estatutários com matricula SIAPE ativa.</t>
  </si>
  <si>
    <t>ASS:</t>
  </si>
  <si>
    <t>___________________________________</t>
  </si>
  <si>
    <t>_________________________________</t>
  </si>
  <si>
    <t>NOME:</t>
  </si>
  <si>
    <t>CPF /E OU/ INCRIÇÃO SIAPE          TEL.</t>
  </si>
  <si>
    <t>OBS: Pagina inferior  deve ter no mínimo 2,5cm - Papel A4</t>
  </si>
  <si>
    <t>CUSTO ****</t>
  </si>
  <si>
    <r>
      <t xml:space="preserve">CONTRATOS CELEBRADOS COM FUNDAÇÕES DE APOIO COM </t>
    </r>
    <r>
      <rPr>
        <sz val="13"/>
        <rFont val="Arial"/>
        <family val="2"/>
      </rPr>
      <t>VIGÊNCIA</t>
    </r>
    <r>
      <rPr>
        <sz val="14"/>
        <rFont val="Arial"/>
        <family val="2"/>
      </rPr>
      <t xml:space="preserve"> NO EXERCÍCIO DE 2024</t>
    </r>
  </si>
  <si>
    <t>CONTRATOS CELEBRADOS COM FUNDAÇÕES DE APOIO COM VIGÊNCIA NO EXERCÍCIO DE 2024</t>
  </si>
  <si>
    <t>* VR.REPASSADO: É o valor acumulado que foi repassado p/ Fund. de Apoio via SIAFI até 31/12/2024.</t>
  </si>
  <si>
    <t>**VR. DESPESA TOTAL  : Total gasto/executado no projeto na Fundação de Apoio até 31/12/2024. - O valor preenchido nesta coluna deve ser no máximo a soma do Valor Repassado + Receitas.</t>
  </si>
  <si>
    <t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31/12/2024.</t>
  </si>
  <si>
    <t>**** CUSTO OPERACIONAL: Valor da remuneração paga à Fundação de Apoio  título de serviços administrativos ou gerenciamento de gestão até 31/12/2024.</t>
  </si>
  <si>
    <t>Extensão</t>
  </si>
  <si>
    <t>025/18-00</t>
  </si>
  <si>
    <t>23072.044370/2018-48</t>
  </si>
  <si>
    <t>Curso de Especialização em Endodontia</t>
  </si>
  <si>
    <t>Ana Cecília Diniz Viana</t>
  </si>
  <si>
    <t>021/18-00</t>
  </si>
  <si>
    <t>23072.029281/2018-71</t>
  </si>
  <si>
    <t>Curso de Especialização em Dentística</t>
  </si>
  <si>
    <t>Hugo Henriques Alvim</t>
  </si>
  <si>
    <t>002/2019</t>
  </si>
  <si>
    <t>23072.056169/2018-11</t>
  </si>
  <si>
    <t>Projeto de Pesquisa e Extensão Levantamento Epidemiológico de Saúde Bucal</t>
  </si>
  <si>
    <t>-</t>
  </si>
  <si>
    <t>Pesquisa e Extensão</t>
  </si>
  <si>
    <t>Andréa Maria Duarte Vargas</t>
  </si>
  <si>
    <t>010/2020</t>
  </si>
  <si>
    <t>23072.207427/2020-41</t>
  </si>
  <si>
    <t>Curso de Especialização em Cirurgia Buco Maxilo Facial com Práticas Hospitalares Avançadas</t>
  </si>
  <si>
    <t> 08/04/2020</t>
  </si>
  <si>
    <t>Evandro Guimarães de Aguiar</t>
  </si>
  <si>
    <t>042/2022</t>
  </si>
  <si>
    <t>23072.246525/2022-65</t>
  </si>
  <si>
    <t>Prestação de serviços para a população com ampliação de atendimento para 23.000 pessoas da Faculdade de Odontologia</t>
  </si>
  <si>
    <t>Denise Vieira Travassos</t>
  </si>
  <si>
    <t>Convênios Diversos Munícipios</t>
  </si>
  <si>
    <t>23072.226448/2022-27</t>
  </si>
  <si>
    <t xml:space="preserve">Ensino </t>
  </si>
  <si>
    <t xml:space="preserve">23072.235345/2023-39 </t>
  </si>
  <si>
    <t>23072.230978/2023-51</t>
  </si>
  <si>
    <t>23072.237916/2022-99</t>
  </si>
  <si>
    <t xml:space="preserve"> 23/10/25</t>
  </si>
  <si>
    <t>23072.210026/2022-30</t>
  </si>
  <si>
    <t>23072.210038/2022-64</t>
  </si>
  <si>
    <t>23072.210086/2022-52</t>
  </si>
  <si>
    <t>153290-  Faculdade de Odontologia</t>
  </si>
  <si>
    <t>Fundação de Desenvolvimento da Pesquisa</t>
  </si>
  <si>
    <t>18720938/0001-41</t>
  </si>
  <si>
    <t>Não houve bolsa para servidor</t>
  </si>
  <si>
    <t>ANDREA MARIA DUARTE VARGAS</t>
  </si>
  <si>
    <t>ANDREA MARIA ARAUJO DRUMMOND</t>
  </si>
  <si>
    <t>MARA VASCONCELLOS</t>
  </si>
  <si>
    <t>RAFAELA DA SILVEIRA PINTO</t>
  </si>
  <si>
    <t>RAQUEL CONCEIÇÃO FERREIRA</t>
  </si>
  <si>
    <t>ROSA NÚBIA VIEIRA DE MOURA</t>
  </si>
  <si>
    <t>VIVIANE ELISANGELA GOMES</t>
  </si>
  <si>
    <t>EM 2024</t>
  </si>
  <si>
    <t>EXTENSÃO</t>
  </si>
  <si>
    <t>Daniele Lopes Leal</t>
  </si>
  <si>
    <t>Convênio Internato Rural - Mariana</t>
  </si>
  <si>
    <t>Convênio Internato Rural - Pedro Leopoldo</t>
  </si>
  <si>
    <t>Convênio Internato Rural - Dores de Guanhães</t>
  </si>
  <si>
    <t>Convênio Internato Rural - Conceição do Mato Dentro</t>
  </si>
  <si>
    <t>Convênio Internato Rural - Bonfim</t>
  </si>
  <si>
    <t>Convênio Internato Rural - Rubim</t>
  </si>
  <si>
    <t xml:space="preserve">NOME: João Batista Novais Júnior </t>
  </si>
  <si>
    <t>PORTARIA DE NOMEAÇÃO Nº 436, de 18 de janeiro de 2024</t>
  </si>
  <si>
    <t>Convênio Internato Rural -Várzea da Palma</t>
  </si>
  <si>
    <t xml:space="preserve"> 21/03/2026</t>
  </si>
  <si>
    <t>Fundação de Apoio ao Ensino, Pesquisa e Extensão</t>
  </si>
  <si>
    <t>FEPE</t>
  </si>
  <si>
    <t>16.629.388/0001-24</t>
  </si>
  <si>
    <t>222/2021</t>
  </si>
  <si>
    <t>23072.229200/2021-37</t>
  </si>
  <si>
    <t>Curso de Especialização em Ortodontia</t>
  </si>
  <si>
    <t>Leniana Santos Neves</t>
  </si>
  <si>
    <t>001/2022</t>
  </si>
  <si>
    <t>23072.262416/2021-12</t>
  </si>
  <si>
    <t> 07/01/2022</t>
  </si>
  <si>
    <t> 04/07/2025</t>
  </si>
  <si>
    <t>603/2023</t>
  </si>
  <si>
    <t>23072.273141/2023-04</t>
  </si>
  <si>
    <t xml:space="preserve">NOME: </t>
  </si>
  <si>
    <t xml:space="preserve">CPF:  </t>
  </si>
  <si>
    <t>TEL. 3409-2491</t>
  </si>
  <si>
    <t>Ensino</t>
  </si>
  <si>
    <t>R$      678.805,96 </t>
  </si>
  <si>
    <t>23072.250423/2023-25</t>
  </si>
  <si>
    <t>Convênio Internato Rural - Guaxupé</t>
  </si>
  <si>
    <t>Internato Rural - Guaxupé</t>
  </si>
  <si>
    <t>PORTARIA DE NOMEAÇÃO Nº  Nº 436, de 18 de janeiro de 2024</t>
  </si>
  <si>
    <t>23072.203218/2024-51</t>
  </si>
  <si>
    <t xml:space="preserve">Curso de Especialização em Periodontia </t>
  </si>
  <si>
    <t>Rafael Paschoal Esteves Lima</t>
  </si>
  <si>
    <t>028/2024</t>
  </si>
  <si>
    <t>4 horas/semana</t>
  </si>
  <si>
    <t>Rodrigo Hermont Cançado</t>
  </si>
  <si>
    <t>Leonardo Foresti Soares de Menezes</t>
  </si>
  <si>
    <t>Esdras Campos França</t>
  </si>
  <si>
    <t>Soraia Macari</t>
  </si>
  <si>
    <t>Andrea Rodrigues Motta</t>
  </si>
  <si>
    <t>Wagner Henriques de Castro</t>
  </si>
  <si>
    <t>Tania Mara Pimenta Amaral</t>
  </si>
  <si>
    <t>Roselaine Moreira Coelho Milagres</t>
  </si>
  <si>
    <t>Fundação Christiano Ottoni</t>
  </si>
  <si>
    <t>FCO</t>
  </si>
  <si>
    <t>18.218.909/0001-86</t>
  </si>
  <si>
    <t>448/2022</t>
  </si>
  <si>
    <t>23072.226547/2022-17</t>
  </si>
  <si>
    <t>Curso de Especialização em Cirurgia e Traumatologia Buco-Maxilo-Facial</t>
  </si>
  <si>
    <t>128/2023</t>
  </si>
  <si>
    <t>23072.241310-2022-58</t>
  </si>
  <si>
    <t>302/2023</t>
  </si>
  <si>
    <t>23072.263776/2022-12</t>
  </si>
  <si>
    <t>Curso de Especialização em Odontopediatria</t>
  </si>
  <si>
    <t> 06/07/2026</t>
  </si>
  <si>
    <t>Marco Aurélio Benini Pashoal</t>
  </si>
  <si>
    <t>596/2023</t>
  </si>
  <si>
    <t>23072.269994/2023-33</t>
  </si>
  <si>
    <t>659/2023</t>
  </si>
  <si>
    <t>23072.267970/2023-40</t>
  </si>
  <si>
    <t>Curso de Formação em Saúde Bucal</t>
  </si>
  <si>
    <t>Maria Inês Barreiros Senna</t>
  </si>
  <si>
    <t xml:space="preserve">TEL. </t>
  </si>
  <si>
    <t>23072.262721/2024-49</t>
  </si>
  <si>
    <t>23072.261399/2023-50</t>
  </si>
  <si>
    <t>23072.274425/2024-91</t>
  </si>
  <si>
    <t>CLAUDIO ROMULO COMUNIAN</t>
  </si>
  <si>
    <t>3 horas/semana</t>
  </si>
  <si>
    <t>DEBORA APOLINARIO NUNES LANNA</t>
  </si>
  <si>
    <t>EVANDRO GUIMARAES DE AGUIAR</t>
  </si>
  <si>
    <t>5 horas/semana</t>
  </si>
  <si>
    <t>MARCELO DRUMMOND NAVES</t>
  </si>
  <si>
    <t>Curso de Especialização em Implantodontia</t>
  </si>
  <si>
    <t>381/2024</t>
  </si>
  <si>
    <t>Leandro Napier de Souza</t>
  </si>
  <si>
    <t>Mauro Henrique Nogueira Guimaraes de Abreu</t>
  </si>
  <si>
    <t>001/2024</t>
  </si>
  <si>
    <t>Emenda Parlamentar / Agravos em saúde bucal: da pesquisa básica à avaliação dos serviços de saúde - PBH</t>
  </si>
  <si>
    <t>Pesquisa</t>
  </si>
  <si>
    <t>525/2025</t>
  </si>
  <si>
    <t>Emenda Parlamentar - Apoio à disciplina de graduação OSP039-Atenção odontológica para crianças e adolescentes com deficiência: implantação do serviço de sedação ambulatorial para ensino, pesquisa e assistência</t>
  </si>
  <si>
    <t>Ana Cristina Borges de Oliveira </t>
  </si>
  <si>
    <t>* VR.REPASSADO: É o valor acumulado que foi repassado p/ Fund. de Apoio via SIAFI até 31/12/2024</t>
  </si>
  <si>
    <t>**VR. DESPESA TOTAL  : Total gasto/executado no projeto na Fundação de Apoio até 31/12/2024 - O valor preenchido nesta coluna deve ser no máximo a soma do Valor Repassado + Receitas.</t>
  </si>
  <si>
    <t>Pesquisa e Ensino</t>
  </si>
  <si>
    <t>Número e Nome da Unidade</t>
  </si>
  <si>
    <t>EVANDRO GUIMARES DE AGUIAR</t>
  </si>
  <si>
    <t>CARLOS JOSE DE PAULA SILVA</t>
  </si>
  <si>
    <t>DEBORA APOLINÁRIO NUNES LANNA</t>
  </si>
  <si>
    <t>2 horas/semana</t>
  </si>
  <si>
    <t>HUGO HENRIQUES ALVIM</t>
  </si>
  <si>
    <t>LINCOLN DIAS LANZA</t>
  </si>
  <si>
    <t>LUIZ THADEU DE ABREU POLETTO</t>
  </si>
  <si>
    <t>PATRICIA VALENTE ARAUJO</t>
  </si>
  <si>
    <t>RICARDO REIS OLIVEIRA</t>
  </si>
  <si>
    <t>ROGELI TIBURCIO RIBEIRO DA CUNHA PEIXOTO</t>
  </si>
  <si>
    <t>CRISTIANE BACCIN BENDO NEVES</t>
  </si>
  <si>
    <t>ENSINO</t>
  </si>
  <si>
    <t>CRISTIANE MEIRA ASSUNÇAO</t>
  </si>
  <si>
    <t>IZABELLA BARBOSA FERNANDES</t>
  </si>
  <si>
    <t>JESSICA MADEIRA BITTENCOURT</t>
  </si>
  <si>
    <t>LUCAS GUIMARAES ABREU</t>
  </si>
  <si>
    <t>MARCO AURELIO BENINI PASCHOAL</t>
  </si>
  <si>
    <t>PATRICIA M PEREIRA DE ARAUJO ZARZAR</t>
  </si>
  <si>
    <t>PAULO ANTONIO MARTINS JUNIOR</t>
  </si>
  <si>
    <t>RAQUEL GONÇALVESS VIEIRA DE ANDRADE</t>
  </si>
  <si>
    <t>ROSA NUBIA VIEIRA DE MOURA</t>
  </si>
  <si>
    <t>MARIA INES BARREIROS SENNA</t>
  </si>
  <si>
    <t>ANDREA CLEMENTE PALMIER</t>
  </si>
  <si>
    <t>PESQUISA</t>
  </si>
  <si>
    <t>MARCELO DIAS MOREIRA DE ASSIS COSTA</t>
  </si>
  <si>
    <t>JULIANA VILELA BASTOS</t>
  </si>
  <si>
    <t>LIVIA GUIMARAES ZINA</t>
  </si>
  <si>
    <t>BRUNA GENARI DEGRAZIA</t>
  </si>
  <si>
    <t>MARIA CRISTINA DA SILVA AYRES</t>
  </si>
  <si>
    <t>Convênio - Diversos Municípios</t>
  </si>
  <si>
    <t>30551 (subprojeto 6)</t>
  </si>
  <si>
    <t>29370 (subprojeto 4)</t>
  </si>
  <si>
    <t>29370 (subprojeto 12)</t>
  </si>
  <si>
    <t>29370 (subprojeto 5)</t>
  </si>
  <si>
    <t>30551 (subprojeto 7)</t>
  </si>
  <si>
    <t>29370 (subprojeto 7)</t>
  </si>
  <si>
    <t>30551 (subprojeto 8)</t>
  </si>
  <si>
    <t>29370 (subprojeto 9)</t>
  </si>
  <si>
    <t>30551 (subprojeto 4)</t>
  </si>
  <si>
    <t>30551 (subprojeto 11)</t>
  </si>
  <si>
    <t>30551 (subprojeto 3)</t>
  </si>
  <si>
    <t>30551 (subprojeto 10)</t>
  </si>
  <si>
    <t>30551 (subprojeto 2)</t>
  </si>
  <si>
    <t>30551 (subprojeto 9)</t>
  </si>
  <si>
    <t>30551 (subprojeto 5)</t>
  </si>
  <si>
    <t>29370 (subprojeto 11)</t>
  </si>
  <si>
    <t>29370                                  30551</t>
  </si>
</sst>
</file>

<file path=xl/styles.xml><?xml version="1.0" encoding="utf-8"?>
<styleSheet xmlns="http://schemas.openxmlformats.org/spreadsheetml/2006/main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-[$R$-416]\ * #,##0.00_-;\-[$R$-416]\ * #,##0.00_-;_-[$R$-416]\ 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23"/>
      <name val="Times New Roman"/>
      <family val="1"/>
    </font>
    <font>
      <sz val="14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7" fillId="0" borderId="0" xfId="0" applyFont="1" applyFill="1"/>
    <xf numFmtId="0" fontId="6" fillId="0" borderId="25" xfId="0" applyFont="1" applyFill="1" applyBorder="1" applyAlignment="1">
      <alignment horizontal="center"/>
    </xf>
    <xf numFmtId="0" fontId="5" fillId="0" borderId="31" xfId="0" applyFont="1" applyBorder="1"/>
    <xf numFmtId="0" fontId="5" fillId="0" borderId="0" xfId="0" applyFont="1" applyBorder="1"/>
    <xf numFmtId="0" fontId="9" fillId="0" borderId="0" xfId="0" applyFont="1" applyBorder="1"/>
    <xf numFmtId="0" fontId="9" fillId="0" borderId="32" xfId="0" applyFont="1" applyBorder="1"/>
    <xf numFmtId="0" fontId="5" fillId="0" borderId="33" xfId="0" applyFont="1" applyBorder="1" applyAlignment="1">
      <alignment horizontal="center"/>
    </xf>
    <xf numFmtId="0" fontId="5" fillId="0" borderId="33" xfId="0" applyFont="1" applyBorder="1"/>
    <xf numFmtId="0" fontId="5" fillId="0" borderId="34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Fill="1" applyBorder="1"/>
    <xf numFmtId="0" fontId="6" fillId="0" borderId="32" xfId="0" applyFont="1" applyBorder="1"/>
    <xf numFmtId="0" fontId="7" fillId="0" borderId="37" xfId="0" applyFont="1" applyBorder="1"/>
    <xf numFmtId="0" fontId="7" fillId="0" borderId="21" xfId="0" applyFont="1" applyBorder="1"/>
    <xf numFmtId="0" fontId="7" fillId="0" borderId="38" xfId="0" applyFont="1" applyBorder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39" xfId="0" applyFill="1" applyBorder="1"/>
    <xf numFmtId="0" fontId="5" fillId="0" borderId="2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28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Fill="1" applyBorder="1"/>
    <xf numFmtId="0" fontId="7" fillId="0" borderId="0" xfId="0" applyFont="1" applyBorder="1"/>
    <xf numFmtId="0" fontId="5" fillId="0" borderId="42" xfId="0" applyFont="1" applyBorder="1" applyAlignment="1"/>
    <xf numFmtId="0" fontId="5" fillId="0" borderId="43" xfId="0" applyFont="1" applyBorder="1" applyAlignment="1"/>
    <xf numFmtId="0" fontId="5" fillId="0" borderId="43" xfId="0" applyFont="1" applyBorder="1"/>
    <xf numFmtId="0" fontId="5" fillId="0" borderId="44" xfId="0" applyFont="1" applyBorder="1" applyAlignment="1">
      <alignment horizontal="left"/>
    </xf>
    <xf numFmtId="0" fontId="5" fillId="0" borderId="44" xfId="0" applyFont="1" applyBorder="1"/>
    <xf numFmtId="0" fontId="5" fillId="0" borderId="44" xfId="0" applyFont="1" applyBorder="1" applyAlignment="1">
      <alignment horizontal="right"/>
    </xf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5" fillId="2" borderId="47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 wrapText="1"/>
    </xf>
    <xf numFmtId="164" fontId="6" fillId="2" borderId="47" xfId="2" applyNumberFormat="1" applyFont="1" applyFill="1" applyBorder="1" applyAlignment="1">
      <alignment vertical="center"/>
    </xf>
    <xf numFmtId="14" fontId="6" fillId="2" borderId="44" xfId="0" applyNumberFormat="1" applyFont="1" applyFill="1" applyBorder="1" applyAlignment="1">
      <alignment horizontal="center" vertical="center"/>
    </xf>
    <xf numFmtId="14" fontId="6" fillId="2" borderId="47" xfId="0" applyNumberFormat="1" applyFont="1" applyFill="1" applyBorder="1" applyAlignment="1">
      <alignment horizontal="center" vertical="center" wrapText="1"/>
    </xf>
    <xf numFmtId="165" fontId="6" fillId="2" borderId="28" xfId="1" applyNumberFormat="1" applyFont="1" applyFill="1" applyBorder="1" applyAlignment="1" applyProtection="1">
      <alignment horizontal="left" vertical="center"/>
    </xf>
    <xf numFmtId="14" fontId="6" fillId="2" borderId="47" xfId="0" applyNumberFormat="1" applyFont="1" applyFill="1" applyBorder="1" applyAlignment="1">
      <alignment horizontal="center" vertical="center"/>
    </xf>
    <xf numFmtId="14" fontId="6" fillId="2" borderId="49" xfId="0" applyNumberFormat="1" applyFont="1" applyFill="1" applyBorder="1" applyAlignment="1">
      <alignment horizontal="center" vertical="center"/>
    </xf>
    <xf numFmtId="165" fontId="6" fillId="2" borderId="28" xfId="0" applyNumberFormat="1" applyFont="1" applyFill="1" applyBorder="1" applyAlignment="1">
      <alignment horizontal="left" vertical="center" wrapText="1"/>
    </xf>
    <xf numFmtId="165" fontId="6" fillId="2" borderId="41" xfId="1" applyNumberFormat="1" applyFont="1" applyFill="1" applyBorder="1" applyAlignment="1" applyProtection="1">
      <alignment horizontal="left" vertical="center"/>
    </xf>
    <xf numFmtId="165" fontId="6" fillId="2" borderId="3" xfId="0" applyNumberFormat="1" applyFont="1" applyFill="1" applyBorder="1" applyAlignment="1">
      <alignment horizontal="left" vertical="center"/>
    </xf>
    <xf numFmtId="165" fontId="6" fillId="2" borderId="47" xfId="0" applyNumberFormat="1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14" fontId="6" fillId="2" borderId="47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2" borderId="47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14" fontId="5" fillId="2" borderId="29" xfId="0" applyNumberFormat="1" applyFont="1" applyFill="1" applyBorder="1" applyAlignment="1">
      <alignment horizontal="center"/>
    </xf>
    <xf numFmtId="44" fontId="5" fillId="0" borderId="28" xfId="2" applyFont="1" applyBorder="1" applyAlignment="1">
      <alignment horizontal="center"/>
    </xf>
    <xf numFmtId="14" fontId="5" fillId="0" borderId="0" xfId="0" applyNumberFormat="1" applyFont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14" fontId="6" fillId="2" borderId="47" xfId="0" applyNumberFormat="1" applyFont="1" applyFill="1" applyBorder="1" applyAlignment="1">
      <alignment horizontal="center" vertical="center" wrapText="1"/>
    </xf>
    <xf numFmtId="14" fontId="5" fillId="2" borderId="47" xfId="0" applyNumberFormat="1" applyFont="1" applyFill="1" applyBorder="1" applyAlignment="1">
      <alignment horizontal="center" vertical="center"/>
    </xf>
    <xf numFmtId="14" fontId="5" fillId="0" borderId="4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vertical="center"/>
    </xf>
    <xf numFmtId="165" fontId="6" fillId="2" borderId="0" xfId="1" applyNumberFormat="1" applyFont="1" applyFill="1" applyBorder="1" applyAlignment="1" applyProtection="1">
      <alignment horizontal="left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47" xfId="0" applyFont="1" applyBorder="1" applyAlignment="1">
      <alignment horizontal="center" vertical="center" wrapText="1"/>
    </xf>
    <xf numFmtId="165" fontId="5" fillId="0" borderId="47" xfId="1" applyNumberFormat="1" applyFont="1" applyFill="1" applyBorder="1" applyAlignment="1" applyProtection="1">
      <alignment horizontal="left" vertical="center"/>
    </xf>
    <xf numFmtId="165" fontId="5" fillId="2" borderId="47" xfId="1" applyNumberFormat="1" applyFont="1" applyFill="1" applyBorder="1" applyAlignment="1" applyProtection="1">
      <alignment horizontal="left" vertical="center"/>
    </xf>
    <xf numFmtId="164" fontId="5" fillId="0" borderId="47" xfId="2" applyNumberFormat="1" applyFont="1" applyBorder="1" applyAlignment="1">
      <alignment vertical="center"/>
    </xf>
    <xf numFmtId="0" fontId="13" fillId="0" borderId="59" xfId="0" applyFont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165" fontId="5" fillId="0" borderId="47" xfId="2" applyNumberFormat="1" applyFont="1" applyBorder="1" applyAlignment="1">
      <alignment vertical="center"/>
    </xf>
    <xf numFmtId="165" fontId="5" fillId="0" borderId="47" xfId="2" applyNumberFormat="1" applyFont="1" applyBorder="1" applyAlignment="1">
      <alignment horizontal="right" vertical="center"/>
    </xf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0" fillId="0" borderId="30" xfId="0" applyFill="1" applyBorder="1"/>
    <xf numFmtId="14" fontId="5" fillId="0" borderId="47" xfId="0" applyNumberFormat="1" applyFont="1" applyBorder="1" applyAlignment="1">
      <alignment vertical="center"/>
    </xf>
    <xf numFmtId="14" fontId="5" fillId="0" borderId="47" xfId="0" applyNumberFormat="1" applyFont="1" applyBorder="1" applyAlignment="1">
      <alignment horizontal="center" vertical="center"/>
    </xf>
    <xf numFmtId="14" fontId="5" fillId="0" borderId="47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2" fontId="5" fillId="0" borderId="47" xfId="0" applyNumberFormat="1" applyFont="1" applyBorder="1" applyAlignment="1">
      <alignment horizontal="center"/>
    </xf>
    <xf numFmtId="44" fontId="5" fillId="0" borderId="47" xfId="2" applyFont="1" applyBorder="1" applyAlignment="1">
      <alignment vertical="center"/>
    </xf>
    <xf numFmtId="14" fontId="5" fillId="0" borderId="47" xfId="0" applyNumberFormat="1" applyFont="1" applyBorder="1" applyAlignment="1">
      <alignment horizontal="left"/>
    </xf>
    <xf numFmtId="164" fontId="5" fillId="0" borderId="47" xfId="2" applyNumberFormat="1" applyFont="1" applyBorder="1" applyAlignment="1">
      <alignment horizontal="left"/>
    </xf>
    <xf numFmtId="14" fontId="5" fillId="3" borderId="47" xfId="0" applyNumberFormat="1" applyFont="1" applyFill="1" applyBorder="1" applyAlignment="1">
      <alignment horizontal="left"/>
    </xf>
    <xf numFmtId="44" fontId="0" fillId="0" borderId="0" xfId="0" applyNumberFormat="1"/>
    <xf numFmtId="0" fontId="5" fillId="0" borderId="31" xfId="0" applyFont="1" applyBorder="1" applyAlignment="1">
      <alignment horizontal="center"/>
    </xf>
    <xf numFmtId="0" fontId="5" fillId="0" borderId="5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/>
    </xf>
    <xf numFmtId="0" fontId="5" fillId="0" borderId="58" xfId="0" applyFont="1" applyBorder="1" applyAlignment="1">
      <alignment horizontal="left"/>
    </xf>
    <xf numFmtId="2" fontId="5" fillId="0" borderId="58" xfId="0" applyNumberFormat="1" applyFont="1" applyBorder="1" applyAlignment="1">
      <alignment horizontal="center"/>
    </xf>
    <xf numFmtId="14" fontId="5" fillId="0" borderId="58" xfId="0" applyNumberFormat="1" applyFont="1" applyBorder="1" applyAlignment="1">
      <alignment horizontal="left"/>
    </xf>
    <xf numFmtId="0" fontId="5" fillId="2" borderId="47" xfId="0" applyFont="1" applyFill="1" applyBorder="1" applyAlignment="1">
      <alignment horizontal="left"/>
    </xf>
    <xf numFmtId="2" fontId="5" fillId="2" borderId="58" xfId="0" applyNumberFormat="1" applyFont="1" applyFill="1" applyBorder="1" applyAlignment="1">
      <alignment horizontal="center"/>
    </xf>
    <xf numFmtId="14" fontId="5" fillId="2" borderId="47" xfId="0" applyNumberFormat="1" applyFont="1" applyFill="1" applyBorder="1" applyAlignment="1">
      <alignment vertical="center"/>
    </xf>
    <xf numFmtId="14" fontId="5" fillId="2" borderId="47" xfId="0" applyNumberFormat="1" applyFont="1" applyFill="1" applyBorder="1" applyAlignment="1">
      <alignment horizontal="left"/>
    </xf>
    <xf numFmtId="165" fontId="6" fillId="2" borderId="47" xfId="1" applyNumberFormat="1" applyFont="1" applyFill="1" applyBorder="1" applyAlignment="1" applyProtection="1">
      <alignment horizontal="left" vertical="center" wrapText="1"/>
    </xf>
    <xf numFmtId="0" fontId="13" fillId="0" borderId="47" xfId="0" applyFont="1" applyBorder="1" applyAlignment="1">
      <alignment horizontal="center" vertical="center"/>
    </xf>
    <xf numFmtId="14" fontId="6" fillId="0" borderId="47" xfId="0" applyNumberFormat="1" applyFont="1" applyBorder="1" applyAlignment="1">
      <alignment horizontal="center" vertical="center" wrapText="1"/>
    </xf>
    <xf numFmtId="165" fontId="6" fillId="0" borderId="47" xfId="1" applyNumberFormat="1" applyFont="1" applyFill="1" applyBorder="1" applyAlignment="1" applyProtection="1">
      <alignment horizontal="left" vertical="center" wrapText="1"/>
    </xf>
    <xf numFmtId="165" fontId="6" fillId="2" borderId="47" xfId="1" applyNumberFormat="1" applyFont="1" applyFill="1" applyBorder="1" applyAlignment="1" applyProtection="1">
      <alignment horizontal="left" vertical="center"/>
    </xf>
    <xf numFmtId="14" fontId="6" fillId="2" borderId="47" xfId="0" applyNumberFormat="1" applyFont="1" applyFill="1" applyBorder="1" applyAlignment="1">
      <alignment horizontal="center" vertical="center" wrapText="1"/>
    </xf>
    <xf numFmtId="164" fontId="8" fillId="2" borderId="47" xfId="2" applyNumberFormat="1" applyFont="1" applyFill="1" applyBorder="1" applyAlignment="1" applyProtection="1">
      <alignment vertical="center"/>
    </xf>
    <xf numFmtId="0" fontId="5" fillId="2" borderId="58" xfId="0" applyFont="1" applyFill="1" applyBorder="1" applyAlignment="1">
      <alignment horizontal="center"/>
    </xf>
    <xf numFmtId="44" fontId="5" fillId="2" borderId="28" xfId="2" applyFont="1" applyFill="1" applyBorder="1" applyAlignment="1">
      <alignment horizontal="center"/>
    </xf>
    <xf numFmtId="44" fontId="5" fillId="2" borderId="4" xfId="2" applyFont="1" applyFill="1" applyBorder="1" applyAlignment="1">
      <alignment horizontal="center"/>
    </xf>
    <xf numFmtId="14" fontId="5" fillId="2" borderId="4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47" xfId="2" applyFont="1" applyBorder="1" applyAlignment="1"/>
    <xf numFmtId="14" fontId="6" fillId="2" borderId="47" xfId="0" applyNumberFormat="1" applyFont="1" applyFill="1" applyBorder="1" applyAlignment="1">
      <alignment horizontal="center" vertical="center" wrapText="1"/>
    </xf>
    <xf numFmtId="44" fontId="5" fillId="2" borderId="47" xfId="2" applyFont="1" applyFill="1" applyBorder="1" applyAlignment="1"/>
    <xf numFmtId="165" fontId="6" fillId="2" borderId="50" xfId="0" applyNumberFormat="1" applyFont="1" applyFill="1" applyBorder="1" applyAlignment="1">
      <alignment horizontal="left" vertical="center"/>
    </xf>
    <xf numFmtId="164" fontId="8" fillId="2" borderId="58" xfId="2" applyNumberFormat="1" applyFont="1" applyFill="1" applyBorder="1" applyAlignment="1" applyProtection="1">
      <alignment horizontal="center" vertical="center"/>
    </xf>
    <xf numFmtId="0" fontId="6" fillId="2" borderId="47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wrapText="1"/>
    </xf>
    <xf numFmtId="0" fontId="6" fillId="0" borderId="35" xfId="0" applyFont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14" fontId="6" fillId="2" borderId="4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left"/>
    </xf>
    <xf numFmtId="0" fontId="5" fillId="0" borderId="4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14" fontId="5" fillId="0" borderId="50" xfId="0" applyNumberFormat="1" applyFont="1" applyBorder="1" applyAlignment="1">
      <alignment horizontal="center" vertical="center"/>
    </xf>
    <xf numFmtId="14" fontId="5" fillId="0" borderId="35" xfId="0" applyNumberFormat="1" applyFont="1" applyBorder="1" applyAlignment="1">
      <alignment horizontal="center" vertical="center"/>
    </xf>
    <xf numFmtId="14" fontId="5" fillId="0" borderId="36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center" vertical="center"/>
    </xf>
    <xf numFmtId="14" fontId="5" fillId="0" borderId="54" xfId="0" applyNumberFormat="1" applyFont="1" applyBorder="1" applyAlignment="1">
      <alignment horizontal="center" vertical="center"/>
    </xf>
    <xf numFmtId="14" fontId="5" fillId="0" borderId="46" xfId="0" applyNumberFormat="1" applyFont="1" applyBorder="1" applyAlignment="1">
      <alignment horizontal="center" vertical="center"/>
    </xf>
    <xf numFmtId="14" fontId="5" fillId="0" borderId="55" xfId="0" applyNumberFormat="1" applyFont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14" fontId="5" fillId="0" borderId="47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4" fontId="5" fillId="0" borderId="4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62" xfId="0" applyNumberFormat="1" applyFont="1" applyBorder="1" applyAlignment="1">
      <alignment horizontal="left" vertical="center"/>
    </xf>
    <xf numFmtId="0" fontId="6" fillId="2" borderId="47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 wrapText="1"/>
    </xf>
    <xf numFmtId="164" fontId="6" fillId="2" borderId="47" xfId="2" applyNumberFormat="1" applyFont="1" applyFill="1" applyBorder="1" applyAlignment="1">
      <alignment horizontal="center" vertical="center"/>
    </xf>
    <xf numFmtId="164" fontId="6" fillId="2" borderId="58" xfId="2" applyNumberFormat="1" applyFont="1" applyFill="1" applyBorder="1" applyAlignment="1">
      <alignment horizontal="center" vertical="center"/>
    </xf>
    <xf numFmtId="164" fontId="6" fillId="2" borderId="63" xfId="2" applyNumberFormat="1" applyFont="1" applyFill="1" applyBorder="1" applyAlignment="1">
      <alignment horizontal="center" vertical="center"/>
    </xf>
    <xf numFmtId="164" fontId="6" fillId="2" borderId="48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2" borderId="58" xfId="2" applyNumberFormat="1" applyFont="1" applyFill="1" applyBorder="1" applyAlignment="1">
      <alignment horizontal="center" vertical="center"/>
    </xf>
    <xf numFmtId="164" fontId="8" fillId="2" borderId="48" xfId="2" applyNumberFormat="1" applyFont="1" applyFill="1" applyBorder="1" applyAlignment="1" applyProtection="1">
      <alignment vertical="center"/>
    </xf>
    <xf numFmtId="14" fontId="6" fillId="2" borderId="58" xfId="0" applyNumberFormat="1" applyFont="1" applyFill="1" applyBorder="1" applyAlignment="1">
      <alignment horizontal="center" vertical="center"/>
    </xf>
    <xf numFmtId="14" fontId="6" fillId="2" borderId="48" xfId="0" applyNumberFormat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14" fontId="6" fillId="2" borderId="47" xfId="0" applyNumberFormat="1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14" fontId="6" fillId="0" borderId="47" xfId="0" applyNumberFormat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 wrapText="1"/>
    </xf>
    <xf numFmtId="14" fontId="6" fillId="2" borderId="58" xfId="0" applyNumberFormat="1" applyFont="1" applyFill="1" applyBorder="1" applyAlignment="1">
      <alignment horizontal="center" vertical="center"/>
    </xf>
    <xf numFmtId="165" fontId="6" fillId="2" borderId="58" xfId="2" applyNumberFormat="1" applyFont="1" applyFill="1" applyBorder="1" applyAlignment="1">
      <alignment horizontal="center" vertical="center"/>
    </xf>
    <xf numFmtId="165" fontId="6" fillId="2" borderId="48" xfId="2" applyNumberFormat="1" applyFont="1" applyFill="1" applyBorder="1" applyAlignment="1">
      <alignment horizontal="center" vertical="center"/>
    </xf>
    <xf numFmtId="165" fontId="8" fillId="2" borderId="47" xfId="2" applyNumberFormat="1" applyFont="1" applyFill="1" applyBorder="1" applyAlignment="1" applyProtection="1">
      <alignment horizontal="center" vertical="center"/>
    </xf>
    <xf numFmtId="165" fontId="6" fillId="2" borderId="47" xfId="2" applyNumberFormat="1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vertical="center" wrapText="1"/>
    </xf>
    <xf numFmtId="165" fontId="6" fillId="2" borderId="63" xfId="2" applyNumberFormat="1" applyFont="1" applyFill="1" applyBorder="1" applyAlignment="1">
      <alignment horizontal="center" vertical="center"/>
    </xf>
    <xf numFmtId="164" fontId="8" fillId="2" borderId="63" xfId="2" applyNumberFormat="1" applyFont="1" applyFill="1" applyBorder="1" applyAlignment="1" applyProtection="1">
      <alignment vertical="center"/>
    </xf>
    <xf numFmtId="0" fontId="6" fillId="2" borderId="58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165" fontId="8" fillId="2" borderId="58" xfId="2" applyNumberFormat="1" applyFont="1" applyFill="1" applyBorder="1" applyAlignment="1" applyProtection="1">
      <alignment horizontal="center" vertical="center"/>
    </xf>
    <xf numFmtId="165" fontId="8" fillId="2" borderId="63" xfId="2" applyNumberFormat="1" applyFont="1" applyFill="1" applyBorder="1" applyAlignment="1" applyProtection="1">
      <alignment horizontal="center" vertical="center"/>
    </xf>
    <xf numFmtId="14" fontId="6" fillId="2" borderId="63" xfId="0" applyNumberFormat="1" applyFont="1" applyFill="1" applyBorder="1" applyAlignment="1">
      <alignment horizontal="center" vertical="center"/>
    </xf>
    <xf numFmtId="165" fontId="8" fillId="2" borderId="48" xfId="2" applyNumberFormat="1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164" fontId="5" fillId="2" borderId="47" xfId="2" applyNumberFormat="1" applyFont="1" applyFill="1" applyBorder="1" applyAlignment="1">
      <alignment horizontal="center" vertical="center" wrapText="1"/>
    </xf>
    <xf numFmtId="14" fontId="5" fillId="2" borderId="63" xfId="0" applyNumberFormat="1" applyFont="1" applyFill="1" applyBorder="1" applyAlignment="1">
      <alignment horizontal="center"/>
    </xf>
    <xf numFmtId="14" fontId="5" fillId="2" borderId="47" xfId="0" applyNumberFormat="1" applyFont="1" applyFill="1" applyBorder="1" applyAlignment="1"/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38100</xdr:colOff>
      <xdr:row>3</xdr:row>
      <xdr:rowOff>19050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352425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</xdr:colOff>
      <xdr:row>0</xdr:row>
      <xdr:rowOff>0</xdr:rowOff>
    </xdr:from>
    <xdr:to>
      <xdr:col>1</xdr:col>
      <xdr:colOff>57977</xdr:colOff>
      <xdr:row>1</xdr:row>
      <xdr:rowOff>168337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0"/>
          <a:ext cx="646043" cy="45822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38100</xdr:colOff>
      <xdr:row>3</xdr:row>
      <xdr:rowOff>19050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7239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</xdr:colOff>
      <xdr:row>0</xdr:row>
      <xdr:rowOff>0</xdr:rowOff>
    </xdr:from>
    <xdr:to>
      <xdr:col>1</xdr:col>
      <xdr:colOff>57977</xdr:colOff>
      <xdr:row>1</xdr:row>
      <xdr:rowOff>168337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0"/>
          <a:ext cx="642730" cy="454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38100</xdr:colOff>
      <xdr:row>3</xdr:row>
      <xdr:rowOff>19050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7239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</xdr:colOff>
      <xdr:row>0</xdr:row>
      <xdr:rowOff>0</xdr:rowOff>
    </xdr:from>
    <xdr:to>
      <xdr:col>1</xdr:col>
      <xdr:colOff>57977</xdr:colOff>
      <xdr:row>1</xdr:row>
      <xdr:rowOff>168337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47" y="0"/>
          <a:ext cx="642730" cy="454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47"/>
  <sheetViews>
    <sheetView topLeftCell="A19" zoomScale="130" zoomScaleNormal="130" workbookViewId="0">
      <selection activeCell="D24" sqref="D24:L25"/>
    </sheetView>
  </sheetViews>
  <sheetFormatPr defaultRowHeight="15"/>
  <cols>
    <col min="1" max="1" width="11" customWidth="1"/>
    <col min="2" max="2" width="12.42578125" customWidth="1"/>
    <col min="3" max="3" width="16.140625" customWidth="1"/>
    <col min="4" max="4" width="17.7109375" customWidth="1"/>
    <col min="5" max="5" width="16.42578125" customWidth="1"/>
    <col min="6" max="6" width="14.5703125" customWidth="1"/>
    <col min="7" max="7" width="12.140625" customWidth="1"/>
    <col min="8" max="9" width="11.7109375" customWidth="1"/>
    <col min="10" max="10" width="10.85546875" customWidth="1"/>
    <col min="13" max="13" width="37.85546875" customWidth="1"/>
    <col min="14" max="14" width="14" customWidth="1"/>
  </cols>
  <sheetData>
    <row r="2" spans="1:14" ht="22.5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23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thickBot="1">
      <c r="A4" s="149" t="s">
        <v>79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>
      <c r="A6" s="150" t="s">
        <v>1</v>
      </c>
      <c r="B6" s="150"/>
      <c r="C6" s="150"/>
      <c r="D6" s="145" t="s">
        <v>118</v>
      </c>
      <c r="E6" s="146"/>
      <c r="F6" s="146"/>
      <c r="G6" s="146"/>
      <c r="H6" s="146"/>
      <c r="I6" s="146"/>
      <c r="J6" s="146"/>
      <c r="K6" s="146"/>
      <c r="L6" s="146"/>
      <c r="M6" s="146"/>
      <c r="N6" s="147"/>
    </row>
    <row r="7" spans="1:14">
      <c r="A7" s="151" t="s">
        <v>2</v>
      </c>
      <c r="B7" s="151"/>
      <c r="C7" s="151"/>
      <c r="D7" s="145" t="s">
        <v>3</v>
      </c>
      <c r="E7" s="146"/>
      <c r="F7" s="146"/>
      <c r="G7" s="146"/>
      <c r="H7" s="146"/>
      <c r="I7" s="146"/>
      <c r="J7" s="146"/>
      <c r="K7" s="146"/>
      <c r="L7" s="146"/>
      <c r="M7" s="146"/>
      <c r="N7" s="147"/>
    </row>
    <row r="8" spans="1:14">
      <c r="A8" s="151" t="s">
        <v>4</v>
      </c>
      <c r="B8" s="151"/>
      <c r="C8" s="151"/>
      <c r="D8" s="145" t="s">
        <v>119</v>
      </c>
      <c r="E8" s="146"/>
      <c r="F8" s="146"/>
      <c r="G8" s="146"/>
      <c r="H8" s="146"/>
      <c r="I8" s="146"/>
      <c r="J8" s="146"/>
      <c r="K8" s="146"/>
      <c r="L8" s="146"/>
      <c r="M8" s="146"/>
      <c r="N8" s="147"/>
    </row>
    <row r="9" spans="1:14">
      <c r="A9" s="151" t="s">
        <v>5</v>
      </c>
      <c r="B9" s="151"/>
      <c r="C9" s="151"/>
      <c r="D9" s="145" t="s">
        <v>56</v>
      </c>
      <c r="E9" s="146"/>
      <c r="F9" s="146"/>
      <c r="G9" s="146"/>
      <c r="H9" s="146"/>
      <c r="I9" s="146"/>
      <c r="J9" s="146"/>
      <c r="K9" s="146"/>
      <c r="L9" s="146"/>
      <c r="M9" s="146"/>
      <c r="N9" s="147"/>
    </row>
    <row r="10" spans="1:14" ht="15.75" thickBot="1">
      <c r="A10" s="156" t="s">
        <v>6</v>
      </c>
      <c r="B10" s="156"/>
      <c r="C10" s="156"/>
      <c r="D10" s="161" t="s">
        <v>120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3"/>
    </row>
    <row r="11" spans="1:14">
      <c r="A11" s="2" t="s">
        <v>7</v>
      </c>
      <c r="B11" s="3" t="s">
        <v>8</v>
      </c>
      <c r="C11" s="4" t="s">
        <v>9</v>
      </c>
      <c r="D11" s="5" t="s">
        <v>10</v>
      </c>
      <c r="E11" s="5" t="s">
        <v>11</v>
      </c>
      <c r="F11" s="5" t="s">
        <v>12</v>
      </c>
      <c r="G11" s="6" t="s">
        <v>13</v>
      </c>
      <c r="H11" s="6" t="s">
        <v>14</v>
      </c>
      <c r="I11" s="7" t="s">
        <v>15</v>
      </c>
      <c r="J11" s="6" t="s">
        <v>77</v>
      </c>
      <c r="K11" s="6" t="s">
        <v>16</v>
      </c>
      <c r="L11" s="5" t="s">
        <v>17</v>
      </c>
      <c r="M11" s="5" t="s">
        <v>18</v>
      </c>
      <c r="N11" s="8" t="s">
        <v>19</v>
      </c>
    </row>
    <row r="12" spans="1:14">
      <c r="A12" s="9" t="s">
        <v>20</v>
      </c>
      <c r="B12" s="10" t="s">
        <v>21</v>
      </c>
      <c r="C12" s="11" t="s">
        <v>22</v>
      </c>
      <c r="D12" s="11" t="s">
        <v>23</v>
      </c>
      <c r="E12" s="12" t="s">
        <v>24</v>
      </c>
      <c r="F12" s="12" t="s">
        <v>25</v>
      </c>
      <c r="G12" s="12" t="s">
        <v>26</v>
      </c>
      <c r="H12" s="12" t="s">
        <v>27</v>
      </c>
      <c r="I12" s="7" t="s">
        <v>28</v>
      </c>
      <c r="J12" s="13" t="s">
        <v>29</v>
      </c>
      <c r="K12" s="13" t="s">
        <v>30</v>
      </c>
      <c r="L12" s="12" t="s">
        <v>30</v>
      </c>
      <c r="M12" s="12" t="s">
        <v>31</v>
      </c>
      <c r="N12" s="14" t="s">
        <v>32</v>
      </c>
    </row>
    <row r="13" spans="1:14" ht="15.75" thickBot="1">
      <c r="A13" s="15"/>
      <c r="B13" s="16"/>
      <c r="C13" s="17" t="s">
        <v>33</v>
      </c>
      <c r="D13" s="17" t="s">
        <v>34</v>
      </c>
      <c r="E13" s="18"/>
      <c r="F13" s="18" t="s">
        <v>35</v>
      </c>
      <c r="G13" s="19" t="s">
        <v>35</v>
      </c>
      <c r="H13" s="19" t="s">
        <v>35</v>
      </c>
      <c r="I13" s="20"/>
      <c r="J13" s="19"/>
      <c r="K13" s="19" t="s">
        <v>36</v>
      </c>
      <c r="L13" s="19" t="s">
        <v>36</v>
      </c>
      <c r="M13" s="19" t="s">
        <v>37</v>
      </c>
      <c r="N13" s="21" t="s">
        <v>24</v>
      </c>
    </row>
    <row r="14" spans="1:14" ht="18">
      <c r="A14" s="58">
        <v>1</v>
      </c>
      <c r="B14" s="59" t="s">
        <v>85</v>
      </c>
      <c r="C14" s="60" t="s">
        <v>86</v>
      </c>
      <c r="D14" s="59">
        <v>26828</v>
      </c>
      <c r="E14" s="60" t="s">
        <v>87</v>
      </c>
      <c r="F14" s="61">
        <v>466800</v>
      </c>
      <c r="G14" s="64">
        <v>0</v>
      </c>
      <c r="H14" s="64">
        <v>11919.72</v>
      </c>
      <c r="I14" s="64">
        <v>308.95</v>
      </c>
      <c r="J14" s="64">
        <v>0</v>
      </c>
      <c r="K14" s="65">
        <v>43522</v>
      </c>
      <c r="L14" s="65">
        <v>45348</v>
      </c>
      <c r="M14" s="66" t="s">
        <v>84</v>
      </c>
      <c r="N14" s="60" t="s">
        <v>88</v>
      </c>
    </row>
    <row r="15" spans="1:14" ht="18">
      <c r="A15" s="58">
        <v>2</v>
      </c>
      <c r="B15" s="59" t="s">
        <v>89</v>
      </c>
      <c r="C15" s="60" t="s">
        <v>90</v>
      </c>
      <c r="D15" s="59">
        <v>26484</v>
      </c>
      <c r="E15" s="60" t="s">
        <v>91</v>
      </c>
      <c r="F15" s="61">
        <v>776320</v>
      </c>
      <c r="G15" s="67">
        <v>0</v>
      </c>
      <c r="H15" s="68">
        <v>434.6</v>
      </c>
      <c r="I15" s="68">
        <v>9.59</v>
      </c>
      <c r="J15" s="68">
        <v>0</v>
      </c>
      <c r="K15" s="65">
        <v>43480</v>
      </c>
      <c r="L15" s="65">
        <v>45306</v>
      </c>
      <c r="M15" s="62" t="s">
        <v>84</v>
      </c>
      <c r="N15" s="60" t="s">
        <v>92</v>
      </c>
    </row>
    <row r="16" spans="1:14" ht="36">
      <c r="A16" s="58">
        <v>3</v>
      </c>
      <c r="B16" s="59" t="s">
        <v>93</v>
      </c>
      <c r="C16" s="60" t="s">
        <v>94</v>
      </c>
      <c r="D16" s="59">
        <v>26781</v>
      </c>
      <c r="E16" s="60" t="s">
        <v>95</v>
      </c>
      <c r="F16" s="61">
        <f>3953582.06+138563.2</f>
        <v>4092145.2600000002</v>
      </c>
      <c r="G16" s="69">
        <f>337776.2+1082738.86+1880284+75000+577783+128170.96+10392.24</f>
        <v>4092145.2600000002</v>
      </c>
      <c r="H16" s="70">
        <v>260577.81</v>
      </c>
      <c r="I16" s="70">
        <v>135376.54999999999</v>
      </c>
      <c r="J16" s="70" t="s">
        <v>96</v>
      </c>
      <c r="K16" s="65">
        <v>43462</v>
      </c>
      <c r="L16" s="65">
        <v>45638</v>
      </c>
      <c r="M16" s="66" t="s">
        <v>97</v>
      </c>
      <c r="N16" s="60" t="s">
        <v>98</v>
      </c>
    </row>
    <row r="17" spans="1:14" ht="36">
      <c r="A17" s="58">
        <v>4</v>
      </c>
      <c r="B17" s="71" t="s">
        <v>99</v>
      </c>
      <c r="C17" s="60" t="s">
        <v>100</v>
      </c>
      <c r="D17" s="71">
        <v>27817</v>
      </c>
      <c r="E17" s="60" t="s">
        <v>101</v>
      </c>
      <c r="F17" s="61">
        <v>695400</v>
      </c>
      <c r="G17" s="69">
        <v>0</v>
      </c>
      <c r="H17" s="131">
        <v>21829.24</v>
      </c>
      <c r="I17" s="131">
        <v>14416.58</v>
      </c>
      <c r="J17" s="131">
        <v>2200.52</v>
      </c>
      <c r="K17" s="65" t="s">
        <v>102</v>
      </c>
      <c r="L17" s="65">
        <v>45573</v>
      </c>
      <c r="M17" s="66" t="s">
        <v>84</v>
      </c>
      <c r="N17" s="63" t="s">
        <v>103</v>
      </c>
    </row>
    <row r="18" spans="1:14" ht="54">
      <c r="A18" s="58">
        <v>5</v>
      </c>
      <c r="B18" s="82" t="s">
        <v>104</v>
      </c>
      <c r="C18" s="82" t="s">
        <v>105</v>
      </c>
      <c r="D18" s="82">
        <v>29691</v>
      </c>
      <c r="E18" s="221" t="s">
        <v>106</v>
      </c>
      <c r="F18" s="207">
        <v>1000000</v>
      </c>
      <c r="G18" s="140">
        <v>0</v>
      </c>
      <c r="H18" s="141">
        <v>851232.63</v>
      </c>
      <c r="I18" s="141">
        <v>49901.68</v>
      </c>
      <c r="J18" s="141">
        <v>40534.74</v>
      </c>
      <c r="K18" s="222">
        <v>44819</v>
      </c>
      <c r="L18" s="222">
        <v>45915</v>
      </c>
      <c r="M18" s="72" t="s">
        <v>84</v>
      </c>
      <c r="N18" s="63" t="s">
        <v>107</v>
      </c>
    </row>
    <row r="19" spans="1:14" ht="25.5" customHeight="1">
      <c r="A19" s="158">
        <v>6</v>
      </c>
      <c r="B19" s="144" t="s">
        <v>249</v>
      </c>
      <c r="C19" s="214" t="s">
        <v>109</v>
      </c>
      <c r="D19" s="200" t="s">
        <v>257</v>
      </c>
      <c r="E19" s="142" t="s">
        <v>132</v>
      </c>
      <c r="F19" s="203">
        <f>33600+33600+67200</f>
        <v>134400</v>
      </c>
      <c r="G19" s="232" t="s">
        <v>96</v>
      </c>
      <c r="H19" s="131">
        <v>11073.71</v>
      </c>
      <c r="I19" s="131">
        <v>1609.82</v>
      </c>
      <c r="J19" s="131">
        <v>-34.06</v>
      </c>
      <c r="K19" s="209">
        <v>44722</v>
      </c>
      <c r="L19" s="209">
        <v>46183</v>
      </c>
      <c r="M19" s="220" t="s">
        <v>110</v>
      </c>
      <c r="N19" s="160" t="s">
        <v>131</v>
      </c>
    </row>
    <row r="20" spans="1:14" ht="25.5" customHeight="1">
      <c r="A20" s="159"/>
      <c r="B20" s="144"/>
      <c r="C20" s="215"/>
      <c r="D20" s="200" t="s">
        <v>258</v>
      </c>
      <c r="E20" s="142" t="s">
        <v>132</v>
      </c>
      <c r="F20" s="204"/>
      <c r="G20" s="233"/>
      <c r="H20" s="131">
        <v>20824.310000000001</v>
      </c>
      <c r="I20" s="131">
        <v>14851.23</v>
      </c>
      <c r="J20" s="131">
        <v>1050</v>
      </c>
      <c r="K20" s="234"/>
      <c r="L20" s="234"/>
      <c r="M20" s="206"/>
      <c r="N20" s="160"/>
    </row>
    <row r="21" spans="1:14" ht="25.5" customHeight="1">
      <c r="A21" s="159"/>
      <c r="B21" s="144"/>
      <c r="C21" s="216"/>
      <c r="D21" s="200" t="s">
        <v>259</v>
      </c>
      <c r="E21" s="142" t="s">
        <v>132</v>
      </c>
      <c r="F21" s="205"/>
      <c r="G21" s="235"/>
      <c r="H21" s="131">
        <v>11848.7</v>
      </c>
      <c r="I21" s="131">
        <v>16941.150000000001</v>
      </c>
      <c r="J21" s="131">
        <v>1260</v>
      </c>
      <c r="K21" s="210"/>
      <c r="L21" s="210"/>
      <c r="M21" s="206"/>
      <c r="N21" s="160"/>
    </row>
    <row r="22" spans="1:14" ht="25.5" customHeight="1">
      <c r="A22" s="159"/>
      <c r="B22" s="144"/>
      <c r="C22" s="211" t="s">
        <v>111</v>
      </c>
      <c r="D22" s="200" t="s">
        <v>262</v>
      </c>
      <c r="E22" s="143" t="s">
        <v>133</v>
      </c>
      <c r="F22" s="203">
        <f>31600+31600</f>
        <v>63200</v>
      </c>
      <c r="G22" s="223" t="s">
        <v>96</v>
      </c>
      <c r="H22" s="208">
        <v>21063.16</v>
      </c>
      <c r="I22" s="208">
        <v>26663.1</v>
      </c>
      <c r="J22" s="208">
        <v>1975</v>
      </c>
      <c r="K22" s="217">
        <v>45128</v>
      </c>
      <c r="L22" s="217">
        <v>45859</v>
      </c>
      <c r="M22" s="206"/>
      <c r="N22" s="160"/>
    </row>
    <row r="23" spans="1:14" ht="18">
      <c r="A23" s="159"/>
      <c r="B23" s="144"/>
      <c r="C23" s="212"/>
      <c r="D23" s="200" t="s">
        <v>263</v>
      </c>
      <c r="E23" s="227" t="s">
        <v>133</v>
      </c>
      <c r="F23" s="204"/>
      <c r="G23" s="228"/>
      <c r="H23" s="229">
        <v>12054.14</v>
      </c>
      <c r="I23" s="229">
        <v>13166.65</v>
      </c>
      <c r="J23" s="229">
        <v>987.5</v>
      </c>
      <c r="K23" s="217"/>
      <c r="L23" s="217"/>
      <c r="M23" s="206"/>
      <c r="N23" s="160"/>
    </row>
    <row r="24" spans="1:14" ht="18">
      <c r="A24" s="159"/>
      <c r="B24" s="144"/>
      <c r="C24" s="211" t="s">
        <v>112</v>
      </c>
      <c r="D24" s="200" t="s">
        <v>260</v>
      </c>
      <c r="E24" s="142" t="s">
        <v>134</v>
      </c>
      <c r="F24" s="203">
        <f>31200+62400</f>
        <v>93600</v>
      </c>
      <c r="G24" s="223" t="s">
        <v>96</v>
      </c>
      <c r="H24" s="131">
        <v>26876.25</v>
      </c>
      <c r="I24" s="131">
        <v>21048.73</v>
      </c>
      <c r="J24" s="131">
        <v>1950</v>
      </c>
      <c r="K24" s="209">
        <v>45118</v>
      </c>
      <c r="L24" s="209">
        <v>46214</v>
      </c>
      <c r="M24" s="206"/>
      <c r="N24" s="160"/>
    </row>
    <row r="25" spans="1:14" ht="18">
      <c r="A25" s="159"/>
      <c r="B25" s="144"/>
      <c r="C25" s="212"/>
      <c r="D25" s="200" t="s">
        <v>261</v>
      </c>
      <c r="E25" s="142" t="s">
        <v>134</v>
      </c>
      <c r="F25" s="205"/>
      <c r="G25" s="224"/>
      <c r="H25" s="131">
        <v>12322.09</v>
      </c>
      <c r="I25" s="131">
        <v>5200</v>
      </c>
      <c r="J25" s="131">
        <v>390</v>
      </c>
      <c r="K25" s="210"/>
      <c r="L25" s="210"/>
      <c r="M25" s="206"/>
      <c r="N25" s="160"/>
    </row>
    <row r="26" spans="1:14" ht="27">
      <c r="A26" s="159"/>
      <c r="B26" s="144"/>
      <c r="C26" s="211" t="s">
        <v>113</v>
      </c>
      <c r="D26" s="200" t="s">
        <v>265</v>
      </c>
      <c r="E26" s="142" t="s">
        <v>135</v>
      </c>
      <c r="F26" s="203">
        <f>16800+33600</f>
        <v>50400</v>
      </c>
      <c r="G26" s="223" t="s">
        <v>96</v>
      </c>
      <c r="H26" s="131">
        <v>5950.01</v>
      </c>
      <c r="I26" s="131">
        <v>765.86</v>
      </c>
      <c r="J26" s="131">
        <v>0</v>
      </c>
      <c r="K26" s="209">
        <v>44889</v>
      </c>
      <c r="L26" s="230" t="s">
        <v>114</v>
      </c>
      <c r="M26" s="206"/>
      <c r="N26" s="160"/>
    </row>
    <row r="27" spans="1:14" ht="27">
      <c r="A27" s="159"/>
      <c r="B27" s="144"/>
      <c r="C27" s="212"/>
      <c r="D27" s="200" t="s">
        <v>264</v>
      </c>
      <c r="E27" s="142" t="s">
        <v>135</v>
      </c>
      <c r="F27" s="205"/>
      <c r="G27" s="224"/>
      <c r="H27" s="131">
        <v>12393.2</v>
      </c>
      <c r="I27" s="131">
        <v>15748.52</v>
      </c>
      <c r="J27" s="131">
        <v>1050</v>
      </c>
      <c r="K27" s="210"/>
      <c r="L27" s="231"/>
      <c r="M27" s="206"/>
      <c r="N27" s="160"/>
    </row>
    <row r="28" spans="1:14" ht="18">
      <c r="A28" s="159"/>
      <c r="B28" s="144"/>
      <c r="C28" s="211" t="s">
        <v>115</v>
      </c>
      <c r="D28" s="200" t="s">
        <v>253</v>
      </c>
      <c r="E28" s="142" t="s">
        <v>136</v>
      </c>
      <c r="F28" s="203">
        <f>16800+16800+33600</f>
        <v>67200</v>
      </c>
      <c r="G28" s="223" t="s">
        <v>96</v>
      </c>
      <c r="H28" s="131">
        <v>12937.28</v>
      </c>
      <c r="I28" s="131">
        <v>4234.88</v>
      </c>
      <c r="J28" s="131">
        <v>150.41999999999999</v>
      </c>
      <c r="K28" s="209">
        <v>44638</v>
      </c>
      <c r="L28" s="209">
        <v>46099</v>
      </c>
      <c r="M28" s="206"/>
      <c r="N28" s="160"/>
    </row>
    <row r="29" spans="1:14" ht="18">
      <c r="A29" s="159"/>
      <c r="B29" s="144"/>
      <c r="C29" s="212"/>
      <c r="D29" s="200" t="s">
        <v>254</v>
      </c>
      <c r="E29" s="142" t="s">
        <v>136</v>
      </c>
      <c r="F29" s="205"/>
      <c r="G29" s="224"/>
      <c r="H29" s="131">
        <v>12895.4</v>
      </c>
      <c r="I29" s="131">
        <v>12612.64</v>
      </c>
      <c r="J29" s="131">
        <v>945</v>
      </c>
      <c r="K29" s="210"/>
      <c r="L29" s="210"/>
      <c r="M29" s="206"/>
      <c r="N29" s="160"/>
    </row>
    <row r="30" spans="1:14" ht="18">
      <c r="A30" s="159"/>
      <c r="B30" s="144"/>
      <c r="C30" s="213" t="s">
        <v>116</v>
      </c>
      <c r="D30" s="200" t="s">
        <v>251</v>
      </c>
      <c r="E30" s="142" t="s">
        <v>137</v>
      </c>
      <c r="F30" s="202">
        <f>23520+26400+52800</f>
        <v>102720</v>
      </c>
      <c r="G30" s="225" t="s">
        <v>96</v>
      </c>
      <c r="H30" s="131">
        <v>460.56</v>
      </c>
      <c r="I30" s="131">
        <v>1651.68</v>
      </c>
      <c r="J30" s="131">
        <v>-83.44</v>
      </c>
      <c r="K30" s="217">
        <v>44638</v>
      </c>
      <c r="L30" s="217">
        <v>46099</v>
      </c>
      <c r="M30" s="206"/>
      <c r="N30" s="160"/>
    </row>
    <row r="31" spans="1:14" ht="18">
      <c r="A31" s="159"/>
      <c r="B31" s="144"/>
      <c r="C31" s="213"/>
      <c r="D31" s="200" t="s">
        <v>252</v>
      </c>
      <c r="E31" s="142" t="s">
        <v>137</v>
      </c>
      <c r="F31" s="202"/>
      <c r="G31" s="225"/>
      <c r="H31" s="131">
        <v>11701</v>
      </c>
      <c r="I31" s="131">
        <v>5428.07</v>
      </c>
      <c r="J31" s="131">
        <v>495</v>
      </c>
      <c r="K31" s="217"/>
      <c r="L31" s="217"/>
      <c r="M31" s="206"/>
      <c r="N31" s="160"/>
    </row>
    <row r="32" spans="1:14" ht="18">
      <c r="A32" s="159"/>
      <c r="B32" s="144"/>
      <c r="C32" s="213"/>
      <c r="D32" s="200" t="s">
        <v>250</v>
      </c>
      <c r="E32" s="142" t="s">
        <v>137</v>
      </c>
      <c r="F32" s="202"/>
      <c r="G32" s="225"/>
      <c r="H32" s="131">
        <v>11092.47</v>
      </c>
      <c r="I32" s="131">
        <v>22234.51</v>
      </c>
      <c r="J32" s="131">
        <v>1650</v>
      </c>
      <c r="K32" s="217"/>
      <c r="L32" s="217"/>
      <c r="M32" s="206"/>
      <c r="N32" s="160"/>
    </row>
    <row r="33" spans="1:14" ht="18">
      <c r="A33" s="159"/>
      <c r="B33" s="144"/>
      <c r="C33" s="218" t="s">
        <v>117</v>
      </c>
      <c r="D33" s="200" t="s">
        <v>255</v>
      </c>
      <c r="E33" s="201" t="s">
        <v>140</v>
      </c>
      <c r="F33" s="202">
        <f>18320+18320.04+40584</f>
        <v>77224.040000000008</v>
      </c>
      <c r="G33" s="226" t="s">
        <v>96</v>
      </c>
      <c r="H33" s="131">
        <v>13412.22</v>
      </c>
      <c r="I33" s="131">
        <v>4628.74</v>
      </c>
      <c r="J33" s="131">
        <v>228.99</v>
      </c>
      <c r="K33" s="219">
        <v>44641</v>
      </c>
      <c r="L33" s="218" t="s">
        <v>141</v>
      </c>
      <c r="M33" s="206"/>
      <c r="N33" s="160"/>
    </row>
    <row r="34" spans="1:14" ht="18.75" thickBot="1">
      <c r="A34" s="159"/>
      <c r="B34" s="144"/>
      <c r="C34" s="218"/>
      <c r="D34" s="200" t="s">
        <v>256</v>
      </c>
      <c r="E34" s="201" t="s">
        <v>140</v>
      </c>
      <c r="F34" s="202"/>
      <c r="G34" s="226"/>
      <c r="H34" s="131">
        <v>7237.15</v>
      </c>
      <c r="I34" s="131">
        <v>17159.3</v>
      </c>
      <c r="J34" s="131">
        <v>1141.3800000000001</v>
      </c>
      <c r="K34" s="219"/>
      <c r="L34" s="218"/>
      <c r="M34" s="206"/>
      <c r="N34" s="160"/>
    </row>
    <row r="35" spans="1:14" ht="15.75" thickBot="1">
      <c r="A35" s="157">
        <v>1141.3800000000001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7"/>
      <c r="N35" s="157"/>
    </row>
    <row r="36" spans="1:14" ht="15.75" thickBot="1">
      <c r="A36" s="152" t="s">
        <v>81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</row>
    <row r="37" spans="1:14" ht="28.5" customHeight="1">
      <c r="A37" s="152" t="s">
        <v>82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</row>
    <row r="38" spans="1:14">
      <c r="A38" s="153" t="s">
        <v>83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1:14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4"/>
      <c r="L39" s="24"/>
      <c r="M39" s="24"/>
      <c r="N39" s="25"/>
    </row>
    <row r="40" spans="1:14">
      <c r="A40" s="22" t="s">
        <v>39</v>
      </c>
      <c r="B40" s="26"/>
      <c r="C40" s="27"/>
      <c r="D40" s="27"/>
      <c r="E40" s="23"/>
      <c r="F40" s="23"/>
      <c r="G40" s="23"/>
      <c r="H40" s="23"/>
      <c r="I40" s="23"/>
      <c r="J40" s="23"/>
      <c r="K40" s="27"/>
      <c r="L40" s="27"/>
      <c r="M40" s="27"/>
      <c r="N40" s="28"/>
    </row>
    <row r="41" spans="1:14">
      <c r="A41" s="22"/>
      <c r="B41" s="154" t="s">
        <v>40</v>
      </c>
      <c r="C41" s="154"/>
      <c r="D41" s="154"/>
      <c r="E41" s="23"/>
      <c r="F41" s="23"/>
      <c r="G41" s="23"/>
      <c r="H41" s="23"/>
      <c r="I41" s="23"/>
      <c r="J41" s="23"/>
      <c r="K41" s="155" t="s">
        <v>41</v>
      </c>
      <c r="L41" s="155"/>
      <c r="M41" s="155"/>
      <c r="N41" s="155"/>
    </row>
    <row r="42" spans="1:14">
      <c r="A42" s="22"/>
      <c r="B42" s="29" t="s">
        <v>42</v>
      </c>
      <c r="C42" s="30"/>
      <c r="D42" s="30"/>
      <c r="E42" s="23"/>
      <c r="F42" s="23"/>
      <c r="G42" s="23"/>
      <c r="H42" s="23"/>
      <c r="I42" s="23"/>
      <c r="J42" s="23"/>
      <c r="K42" s="31" t="s">
        <v>138</v>
      </c>
      <c r="L42" s="30"/>
      <c r="M42" s="30"/>
      <c r="N42" s="32"/>
    </row>
    <row r="43" spans="1:14">
      <c r="A43" s="22"/>
      <c r="B43" s="30" t="s">
        <v>43</v>
      </c>
      <c r="C43" s="30" t="s">
        <v>38</v>
      </c>
      <c r="D43" s="30" t="s">
        <v>44</v>
      </c>
      <c r="E43" s="23"/>
      <c r="F43" s="23"/>
      <c r="G43" s="23"/>
      <c r="H43" s="23"/>
      <c r="I43" s="23"/>
      <c r="J43" s="23"/>
      <c r="K43" s="31" t="s">
        <v>139</v>
      </c>
      <c r="L43" s="30"/>
      <c r="M43" s="30"/>
      <c r="N43" s="32"/>
    </row>
    <row r="44" spans="1:14" ht="15.75" thickBot="1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</row>
    <row r="45" spans="1:14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14">
      <c r="A47" s="36" t="s">
        <v>45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</sheetData>
  <mergeCells count="57">
    <mergeCell ref="G26:G27"/>
    <mergeCell ref="K26:K27"/>
    <mergeCell ref="L26:L27"/>
    <mergeCell ref="K24:K25"/>
    <mergeCell ref="L24:L25"/>
    <mergeCell ref="L33:L34"/>
    <mergeCell ref="C19:C21"/>
    <mergeCell ref="F19:F21"/>
    <mergeCell ref="G19:G21"/>
    <mergeCell ref="K19:K21"/>
    <mergeCell ref="L19:L21"/>
    <mergeCell ref="C22:C23"/>
    <mergeCell ref="F22:F23"/>
    <mergeCell ref="G22:G23"/>
    <mergeCell ref="K22:K23"/>
    <mergeCell ref="L22:L23"/>
    <mergeCell ref="C24:C25"/>
    <mergeCell ref="F24:F25"/>
    <mergeCell ref="G24:G25"/>
    <mergeCell ref="C26:C27"/>
    <mergeCell ref="F26:F27"/>
    <mergeCell ref="C30:C32"/>
    <mergeCell ref="C33:C34"/>
    <mergeCell ref="F33:F34"/>
    <mergeCell ref="G33:G34"/>
    <mergeCell ref="K33:K34"/>
    <mergeCell ref="A37:N37"/>
    <mergeCell ref="A38:N38"/>
    <mergeCell ref="B41:D41"/>
    <mergeCell ref="K41:N41"/>
    <mergeCell ref="D7:N7"/>
    <mergeCell ref="A9:C9"/>
    <mergeCell ref="A10:C10"/>
    <mergeCell ref="A35:N35"/>
    <mergeCell ref="A36:N36"/>
    <mergeCell ref="A8:C8"/>
    <mergeCell ref="A19:A34"/>
    <mergeCell ref="M19:M34"/>
    <mergeCell ref="N19:N34"/>
    <mergeCell ref="D8:N8"/>
    <mergeCell ref="D10:N10"/>
    <mergeCell ref="B19:B34"/>
    <mergeCell ref="D9:N9"/>
    <mergeCell ref="A2:N2"/>
    <mergeCell ref="A4:N5"/>
    <mergeCell ref="A6:C6"/>
    <mergeCell ref="D6:N6"/>
    <mergeCell ref="A7:C7"/>
    <mergeCell ref="F30:F32"/>
    <mergeCell ref="G30:G32"/>
    <mergeCell ref="K30:K32"/>
    <mergeCell ref="L30:L32"/>
    <mergeCell ref="K28:K29"/>
    <mergeCell ref="L28:L29"/>
    <mergeCell ref="F28:F29"/>
    <mergeCell ref="G28:G29"/>
    <mergeCell ref="C28:C29"/>
  </mergeCells>
  <pageMargins left="0.7" right="0.7" top="0.75" bottom="0.75" header="0.3" footer="0.3"/>
  <pageSetup paperSize="9" scale="73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opLeftCell="A7" zoomScale="115" zoomScaleNormal="115" workbookViewId="0">
      <selection activeCell="D30" sqref="D30:D36"/>
    </sheetView>
  </sheetViews>
  <sheetFormatPr defaultRowHeight="15"/>
  <cols>
    <col min="2" max="2" width="18.5703125" customWidth="1"/>
    <col min="3" max="3" width="17.7109375" customWidth="1"/>
    <col min="4" max="4" width="19.7109375" customWidth="1"/>
    <col min="5" max="5" width="28.42578125" customWidth="1"/>
    <col min="6" max="6" width="21.5703125" customWidth="1"/>
    <col min="7" max="7" width="16.140625" customWidth="1"/>
    <col min="8" max="8" width="17.5703125" customWidth="1"/>
  </cols>
  <sheetData>
    <row r="1" spans="1:10" ht="22.5">
      <c r="A1" s="165" t="s">
        <v>0</v>
      </c>
      <c r="B1" s="165"/>
      <c r="C1" s="165"/>
      <c r="D1" s="165"/>
      <c r="E1" s="165"/>
      <c r="F1" s="165"/>
      <c r="G1" s="165"/>
      <c r="H1" s="165"/>
    </row>
    <row r="2" spans="1:10" ht="15.75" thickBot="1">
      <c r="A2" s="166" t="s">
        <v>46</v>
      </c>
      <c r="B2" s="166"/>
      <c r="C2" s="166"/>
      <c r="D2" s="166"/>
      <c r="E2" s="166"/>
      <c r="F2" s="166"/>
      <c r="G2" s="166"/>
      <c r="H2" s="166"/>
    </row>
    <row r="3" spans="1:10" ht="15.75" thickBot="1">
      <c r="A3" s="167" t="s">
        <v>78</v>
      </c>
      <c r="B3" s="167"/>
      <c r="C3" s="167"/>
      <c r="D3" s="167"/>
      <c r="E3" s="167"/>
      <c r="F3" s="167"/>
      <c r="G3" s="167"/>
      <c r="H3" s="167"/>
    </row>
    <row r="4" spans="1:10">
      <c r="A4" s="167"/>
      <c r="B4" s="167"/>
      <c r="C4" s="167"/>
      <c r="D4" s="167"/>
      <c r="E4" s="167"/>
      <c r="F4" s="167"/>
      <c r="G4" s="167"/>
      <c r="H4" s="167"/>
    </row>
    <row r="5" spans="1:10">
      <c r="A5" s="164" t="s">
        <v>1</v>
      </c>
      <c r="B5" s="164"/>
      <c r="C5" s="164"/>
      <c r="D5" s="145" t="s">
        <v>118</v>
      </c>
      <c r="E5" s="146"/>
      <c r="F5" s="146"/>
      <c r="G5" s="146"/>
      <c r="H5" s="168"/>
    </row>
    <row r="6" spans="1:10">
      <c r="A6" s="164" t="s">
        <v>2</v>
      </c>
      <c r="B6" s="164"/>
      <c r="C6" s="164"/>
      <c r="D6" s="145" t="s">
        <v>3</v>
      </c>
      <c r="E6" s="146"/>
      <c r="F6" s="146"/>
      <c r="G6" s="146"/>
      <c r="H6" s="168"/>
    </row>
    <row r="7" spans="1:10">
      <c r="A7" s="164" t="s">
        <v>4</v>
      </c>
      <c r="B7" s="164"/>
      <c r="C7" s="164"/>
      <c r="D7" s="145" t="s">
        <v>119</v>
      </c>
      <c r="E7" s="146"/>
      <c r="F7" s="146"/>
      <c r="G7" s="146"/>
      <c r="H7" s="168"/>
    </row>
    <row r="8" spans="1:10">
      <c r="A8" s="164" t="s">
        <v>5</v>
      </c>
      <c r="B8" s="164"/>
      <c r="C8" s="164"/>
      <c r="D8" s="145" t="s">
        <v>56</v>
      </c>
      <c r="E8" s="146"/>
      <c r="F8" s="146"/>
      <c r="G8" s="146"/>
      <c r="H8" s="168"/>
    </row>
    <row r="9" spans="1:10" ht="15.75" thickBot="1">
      <c r="A9" s="171" t="s">
        <v>6</v>
      </c>
      <c r="B9" s="171"/>
      <c r="C9" s="171"/>
      <c r="D9" s="161" t="s">
        <v>120</v>
      </c>
      <c r="E9" s="162"/>
      <c r="F9" s="162"/>
      <c r="G9" s="162"/>
      <c r="H9" s="172"/>
      <c r="I9" s="74"/>
    </row>
    <row r="10" spans="1:10" ht="15.75" customHeight="1" thickBot="1">
      <c r="E10" s="188" t="s">
        <v>47</v>
      </c>
      <c r="F10" s="188"/>
      <c r="G10" s="188"/>
      <c r="H10" s="188"/>
    </row>
    <row r="11" spans="1:10">
      <c r="A11" s="37" t="s">
        <v>7</v>
      </c>
      <c r="B11" s="37" t="s">
        <v>48</v>
      </c>
      <c r="C11" s="37" t="s">
        <v>49</v>
      </c>
      <c r="D11" s="37" t="s">
        <v>50</v>
      </c>
      <c r="E11" s="38" t="s">
        <v>51</v>
      </c>
      <c r="F11" s="37" t="s">
        <v>52</v>
      </c>
      <c r="G11" s="37" t="s">
        <v>53</v>
      </c>
      <c r="H11" s="37" t="s">
        <v>54</v>
      </c>
    </row>
    <row r="12" spans="1:10" ht="15" customHeight="1">
      <c r="A12" s="39" t="s">
        <v>55</v>
      </c>
      <c r="B12" s="39" t="s">
        <v>21</v>
      </c>
      <c r="C12" s="39" t="s">
        <v>33</v>
      </c>
      <c r="D12" s="39" t="s">
        <v>56</v>
      </c>
      <c r="E12" s="40" t="s">
        <v>57</v>
      </c>
      <c r="F12" s="39" t="s">
        <v>58</v>
      </c>
      <c r="G12" s="39" t="s">
        <v>59</v>
      </c>
      <c r="H12" s="39" t="s">
        <v>60</v>
      </c>
    </row>
    <row r="13" spans="1:10">
      <c r="A13" s="39"/>
      <c r="B13" s="39"/>
      <c r="C13" s="39"/>
      <c r="D13" s="39"/>
      <c r="E13" s="40"/>
      <c r="F13" s="39" t="s">
        <v>61</v>
      </c>
      <c r="G13" s="39" t="s">
        <v>62</v>
      </c>
      <c r="H13" s="39" t="s">
        <v>63</v>
      </c>
    </row>
    <row r="14" spans="1:10">
      <c r="A14" s="39"/>
      <c r="B14" s="39"/>
      <c r="C14" s="39"/>
      <c r="D14" s="39"/>
      <c r="E14" s="40"/>
      <c r="F14" s="39" t="s">
        <v>129</v>
      </c>
      <c r="G14" s="39" t="s">
        <v>64</v>
      </c>
      <c r="H14" s="39" t="s">
        <v>60</v>
      </c>
    </row>
    <row r="15" spans="1:10" ht="15.75" thickBot="1">
      <c r="A15" s="41"/>
      <c r="B15" s="41"/>
      <c r="C15" s="41"/>
      <c r="D15" s="41"/>
      <c r="E15" s="42"/>
      <c r="F15" s="41"/>
      <c r="G15" s="41" t="s">
        <v>129</v>
      </c>
      <c r="H15" s="41" t="s">
        <v>65</v>
      </c>
      <c r="J15">
        <f>61+28</f>
        <v>89</v>
      </c>
    </row>
    <row r="16" spans="1:10">
      <c r="A16" s="43">
        <v>1</v>
      </c>
      <c r="B16" s="59" t="s">
        <v>85</v>
      </c>
      <c r="C16" s="60" t="s">
        <v>86</v>
      </c>
      <c r="D16" s="59">
        <v>26828</v>
      </c>
      <c r="E16" s="173" t="s">
        <v>121</v>
      </c>
      <c r="F16" s="174"/>
      <c r="G16" s="174"/>
      <c r="H16" s="175"/>
    </row>
    <row r="17" spans="1:8">
      <c r="A17" s="44">
        <v>2</v>
      </c>
      <c r="B17" s="59" t="s">
        <v>89</v>
      </c>
      <c r="C17" s="60" t="s">
        <v>90</v>
      </c>
      <c r="D17" s="59">
        <v>26484</v>
      </c>
      <c r="E17" s="173" t="s">
        <v>121</v>
      </c>
      <c r="F17" s="174"/>
      <c r="G17" s="174"/>
      <c r="H17" s="175"/>
    </row>
    <row r="18" spans="1:8">
      <c r="A18" s="43">
        <v>3</v>
      </c>
      <c r="B18" s="59" t="s">
        <v>93</v>
      </c>
      <c r="C18" s="60" t="s">
        <v>94</v>
      </c>
      <c r="D18" s="59">
        <v>26781</v>
      </c>
      <c r="E18" s="75" t="s">
        <v>122</v>
      </c>
      <c r="F18" s="45" t="s">
        <v>96</v>
      </c>
      <c r="G18" s="80">
        <f>9000+4000</f>
        <v>13000</v>
      </c>
      <c r="H18" s="79" t="s">
        <v>130</v>
      </c>
    </row>
    <row r="19" spans="1:8">
      <c r="A19" s="44">
        <v>4</v>
      </c>
      <c r="B19" s="59" t="s">
        <v>93</v>
      </c>
      <c r="C19" s="60" t="s">
        <v>94</v>
      </c>
      <c r="D19" s="59">
        <v>26781</v>
      </c>
      <c r="E19" s="76" t="s">
        <v>123</v>
      </c>
      <c r="F19" s="45" t="s">
        <v>96</v>
      </c>
      <c r="G19" s="80">
        <f>9000+4000</f>
        <v>13000</v>
      </c>
      <c r="H19" s="79" t="s">
        <v>130</v>
      </c>
    </row>
    <row r="20" spans="1:8">
      <c r="A20" s="43">
        <v>5</v>
      </c>
      <c r="B20" s="59" t="s">
        <v>93</v>
      </c>
      <c r="C20" s="60" t="s">
        <v>94</v>
      </c>
      <c r="D20" s="59">
        <v>26781</v>
      </c>
      <c r="E20" s="77" t="s">
        <v>124</v>
      </c>
      <c r="F20" s="45" t="s">
        <v>96</v>
      </c>
      <c r="G20" s="80">
        <f>(777.77*7)+777.83+777.78+4000</f>
        <v>11000</v>
      </c>
      <c r="H20" s="79" t="s">
        <v>130</v>
      </c>
    </row>
    <row r="21" spans="1:8">
      <c r="A21" s="44">
        <v>6</v>
      </c>
      <c r="B21" s="59" t="s">
        <v>93</v>
      </c>
      <c r="C21" s="60" t="s">
        <v>94</v>
      </c>
      <c r="D21" s="59">
        <v>26781</v>
      </c>
      <c r="E21" s="77" t="s">
        <v>125</v>
      </c>
      <c r="F21" s="45" t="s">
        <v>96</v>
      </c>
      <c r="G21" s="80">
        <f>9000+4000</f>
        <v>13000</v>
      </c>
      <c r="H21" s="79" t="s">
        <v>130</v>
      </c>
    </row>
    <row r="22" spans="1:8">
      <c r="A22" s="43">
        <v>7</v>
      </c>
      <c r="B22" s="59" t="s">
        <v>93</v>
      </c>
      <c r="C22" s="60" t="s">
        <v>94</v>
      </c>
      <c r="D22" s="59">
        <v>26781</v>
      </c>
      <c r="E22" s="77" t="s">
        <v>126</v>
      </c>
      <c r="F22" s="45" t="s">
        <v>96</v>
      </c>
      <c r="G22" s="80">
        <f>9000+4000</f>
        <v>13000</v>
      </c>
      <c r="H22" s="79" t="s">
        <v>130</v>
      </c>
    </row>
    <row r="23" spans="1:8">
      <c r="A23" s="44">
        <v>8</v>
      </c>
      <c r="B23" s="59" t="s">
        <v>93</v>
      </c>
      <c r="C23" s="60" t="s">
        <v>94</v>
      </c>
      <c r="D23" s="59">
        <v>26781</v>
      </c>
      <c r="E23" s="77" t="s">
        <v>127</v>
      </c>
      <c r="F23" s="45" t="s">
        <v>96</v>
      </c>
      <c r="G23" s="80">
        <f>9000+4000</f>
        <v>13000</v>
      </c>
      <c r="H23" s="79" t="s">
        <v>130</v>
      </c>
    </row>
    <row r="24" spans="1:8">
      <c r="A24" s="43">
        <v>9</v>
      </c>
      <c r="B24" s="59" t="s">
        <v>93</v>
      </c>
      <c r="C24" s="60" t="s">
        <v>94</v>
      </c>
      <c r="D24" s="59">
        <v>26781</v>
      </c>
      <c r="E24" s="78" t="s">
        <v>128</v>
      </c>
      <c r="F24" s="45" t="s">
        <v>96</v>
      </c>
      <c r="G24" s="80">
        <f>9000+4000</f>
        <v>13000</v>
      </c>
      <c r="H24" s="79" t="s">
        <v>130</v>
      </c>
    </row>
    <row r="25" spans="1:8">
      <c r="A25" s="44">
        <v>10</v>
      </c>
      <c r="B25" s="71" t="s">
        <v>99</v>
      </c>
      <c r="C25" s="60" t="s">
        <v>100</v>
      </c>
      <c r="D25" s="71">
        <v>27817</v>
      </c>
      <c r="E25" s="75" t="s">
        <v>200</v>
      </c>
      <c r="F25" s="75" t="s">
        <v>201</v>
      </c>
      <c r="G25" s="133">
        <f>650+1100+1600</f>
        <v>3350</v>
      </c>
      <c r="H25" s="79" t="s">
        <v>130</v>
      </c>
    </row>
    <row r="26" spans="1:8">
      <c r="A26" s="44">
        <v>11</v>
      </c>
      <c r="B26" s="71" t="s">
        <v>99</v>
      </c>
      <c r="C26" s="60" t="s">
        <v>100</v>
      </c>
      <c r="D26" s="71">
        <v>27817</v>
      </c>
      <c r="E26" s="75" t="s">
        <v>202</v>
      </c>
      <c r="F26" s="132" t="s">
        <v>168</v>
      </c>
      <c r="G26" s="134">
        <f>700+700</f>
        <v>1400</v>
      </c>
      <c r="H26" s="79" t="s">
        <v>130</v>
      </c>
    </row>
    <row r="27" spans="1:8">
      <c r="A27" s="44">
        <v>12</v>
      </c>
      <c r="B27" s="71" t="s">
        <v>99</v>
      </c>
      <c r="C27" s="60" t="s">
        <v>100</v>
      </c>
      <c r="D27" s="71">
        <v>27817</v>
      </c>
      <c r="E27" s="75" t="s">
        <v>203</v>
      </c>
      <c r="F27" s="75" t="s">
        <v>204</v>
      </c>
      <c r="G27" s="134">
        <f>2760+1935</f>
        <v>4695</v>
      </c>
      <c r="H27" s="79" t="s">
        <v>130</v>
      </c>
    </row>
    <row r="28" spans="1:8">
      <c r="A28" s="44">
        <v>13</v>
      </c>
      <c r="B28" s="71" t="s">
        <v>99</v>
      </c>
      <c r="C28" s="60" t="s">
        <v>100</v>
      </c>
      <c r="D28" s="71">
        <v>27817</v>
      </c>
      <c r="E28" s="132" t="s">
        <v>205</v>
      </c>
      <c r="F28" s="132" t="s">
        <v>168</v>
      </c>
      <c r="G28" s="134">
        <f>2060+1935+3100</f>
        <v>7095</v>
      </c>
      <c r="H28" s="79" t="s">
        <v>130</v>
      </c>
    </row>
    <row r="29" spans="1:8">
      <c r="A29" s="44">
        <v>14</v>
      </c>
      <c r="B29" s="72" t="s">
        <v>104</v>
      </c>
      <c r="C29" s="72" t="s">
        <v>105</v>
      </c>
      <c r="D29" s="71">
        <v>29691</v>
      </c>
      <c r="E29" s="173" t="s">
        <v>121</v>
      </c>
      <c r="F29" s="174"/>
      <c r="G29" s="174"/>
      <c r="H29" s="175"/>
    </row>
    <row r="30" spans="1:8">
      <c r="A30" s="44">
        <v>15</v>
      </c>
      <c r="B30" s="176" t="s">
        <v>108</v>
      </c>
      <c r="C30" s="71" t="s">
        <v>109</v>
      </c>
      <c r="D30" s="236" t="s">
        <v>266</v>
      </c>
      <c r="E30" s="179" t="s">
        <v>121</v>
      </c>
      <c r="F30" s="180"/>
      <c r="G30" s="180"/>
      <c r="H30" s="181"/>
    </row>
    <row r="31" spans="1:8">
      <c r="A31" s="44">
        <v>16</v>
      </c>
      <c r="B31" s="177"/>
      <c r="C31" s="72" t="s">
        <v>111</v>
      </c>
      <c r="D31" s="237"/>
      <c r="E31" s="182"/>
      <c r="F31" s="183"/>
      <c r="G31" s="183"/>
      <c r="H31" s="184"/>
    </row>
    <row r="32" spans="1:8">
      <c r="A32" s="44">
        <v>17</v>
      </c>
      <c r="B32" s="177"/>
      <c r="C32" s="72" t="s">
        <v>112</v>
      </c>
      <c r="D32" s="237"/>
      <c r="E32" s="182"/>
      <c r="F32" s="183"/>
      <c r="G32" s="183"/>
      <c r="H32" s="184"/>
    </row>
    <row r="33" spans="1:8">
      <c r="A33" s="44">
        <v>18</v>
      </c>
      <c r="B33" s="177"/>
      <c r="C33" s="72" t="s">
        <v>113</v>
      </c>
      <c r="D33" s="237"/>
      <c r="E33" s="182"/>
      <c r="F33" s="183"/>
      <c r="G33" s="183"/>
      <c r="H33" s="184"/>
    </row>
    <row r="34" spans="1:8">
      <c r="A34" s="44">
        <v>19</v>
      </c>
      <c r="B34" s="177"/>
      <c r="C34" s="72" t="s">
        <v>115</v>
      </c>
      <c r="D34" s="237"/>
      <c r="E34" s="182"/>
      <c r="F34" s="183"/>
      <c r="G34" s="183"/>
      <c r="H34" s="184"/>
    </row>
    <row r="35" spans="1:8">
      <c r="A35" s="44">
        <v>20</v>
      </c>
      <c r="B35" s="177"/>
      <c r="C35" s="72" t="s">
        <v>116</v>
      </c>
      <c r="D35" s="237"/>
      <c r="E35" s="182"/>
      <c r="F35" s="183"/>
      <c r="G35" s="183"/>
      <c r="H35" s="184"/>
    </row>
    <row r="36" spans="1:8">
      <c r="A36" s="44">
        <v>21</v>
      </c>
      <c r="B36" s="178"/>
      <c r="C36" s="72" t="s">
        <v>117</v>
      </c>
      <c r="D36" s="238"/>
      <c r="E36" s="185"/>
      <c r="F36" s="186"/>
      <c r="G36" s="186"/>
      <c r="H36" s="187"/>
    </row>
    <row r="37" spans="1:8">
      <c r="A37" s="49" t="s">
        <v>66</v>
      </c>
      <c r="B37" s="50"/>
      <c r="C37" s="50"/>
      <c r="D37" s="50"/>
      <c r="E37" s="50"/>
      <c r="F37" s="51"/>
      <c r="G37" s="51"/>
      <c r="H37" s="51"/>
    </row>
    <row r="38" spans="1:8">
      <c r="A38" s="52" t="s">
        <v>67</v>
      </c>
      <c r="B38" s="46"/>
      <c r="C38" s="46"/>
      <c r="D38" s="46"/>
      <c r="E38" s="46"/>
      <c r="F38" s="23"/>
      <c r="G38" s="23"/>
      <c r="H38" s="23"/>
    </row>
    <row r="39" spans="1:8">
      <c r="A39" s="52" t="s">
        <v>68</v>
      </c>
      <c r="B39" s="46"/>
      <c r="C39" s="46"/>
      <c r="D39" s="46"/>
      <c r="E39" s="46"/>
      <c r="F39" s="23"/>
      <c r="G39" s="23"/>
      <c r="H39" s="23"/>
    </row>
    <row r="40" spans="1:8">
      <c r="A40" s="53" t="s">
        <v>69</v>
      </c>
      <c r="B40" s="23"/>
      <c r="C40" s="23"/>
      <c r="D40" s="23"/>
      <c r="E40" s="23"/>
      <c r="F40" s="23"/>
      <c r="G40" s="23"/>
      <c r="H40" s="23"/>
    </row>
    <row r="41" spans="1:8">
      <c r="A41" s="169" t="s">
        <v>70</v>
      </c>
      <c r="B41" s="170"/>
      <c r="C41" s="170"/>
      <c r="D41" s="170"/>
      <c r="E41" s="170"/>
      <c r="F41" s="170"/>
      <c r="G41" s="170"/>
      <c r="H41" s="170"/>
    </row>
    <row r="42" spans="1:8">
      <c r="A42" s="54" t="s">
        <v>71</v>
      </c>
      <c r="B42" s="48" t="s">
        <v>72</v>
      </c>
      <c r="C42" s="48"/>
      <c r="D42" s="48"/>
      <c r="E42" s="48"/>
      <c r="F42" s="48" t="s">
        <v>73</v>
      </c>
      <c r="G42" s="48"/>
      <c r="H42" s="48"/>
    </row>
    <row r="43" spans="1:8">
      <c r="A43" s="55"/>
      <c r="B43" s="47" t="s">
        <v>40</v>
      </c>
      <c r="C43" s="48"/>
      <c r="D43" s="48"/>
      <c r="E43" s="48"/>
      <c r="F43" s="47" t="s">
        <v>41</v>
      </c>
      <c r="G43" s="48"/>
      <c r="H43" s="48"/>
    </row>
    <row r="44" spans="1:8">
      <c r="A44" s="55"/>
      <c r="B44" s="47" t="s">
        <v>74</v>
      </c>
      <c r="C44" s="48"/>
      <c r="D44" s="48"/>
      <c r="E44" s="48"/>
      <c r="F44" s="47" t="s">
        <v>138</v>
      </c>
      <c r="G44" s="48"/>
      <c r="H44" s="48"/>
    </row>
    <row r="45" spans="1:8">
      <c r="A45" s="55"/>
      <c r="B45" s="47" t="s">
        <v>75</v>
      </c>
      <c r="C45" s="48"/>
      <c r="D45" s="48"/>
      <c r="E45" s="48"/>
      <c r="F45" s="47" t="s">
        <v>163</v>
      </c>
      <c r="G45" s="48"/>
      <c r="H45" s="48"/>
    </row>
    <row r="46" spans="1:8">
      <c r="A46" s="55"/>
      <c r="B46" s="47"/>
      <c r="C46" s="48"/>
      <c r="D46" s="48"/>
      <c r="E46" s="48"/>
      <c r="F46" s="48"/>
      <c r="G46" s="48"/>
      <c r="H46" s="48"/>
    </row>
    <row r="47" spans="1:8">
      <c r="A47" s="55"/>
      <c r="B47" s="48"/>
      <c r="C47" s="48"/>
      <c r="D47" s="48"/>
      <c r="E47" s="48"/>
      <c r="F47" s="48"/>
      <c r="G47" s="48"/>
      <c r="H47" s="48"/>
    </row>
    <row r="48" spans="1:8">
      <c r="A48" s="56" t="s">
        <v>76</v>
      </c>
      <c r="B48" s="57"/>
      <c r="C48" s="57"/>
      <c r="D48" s="57"/>
      <c r="E48" s="57"/>
      <c r="F48" s="57"/>
      <c r="G48" s="57"/>
      <c r="H48" s="57"/>
    </row>
  </sheetData>
  <mergeCells count="21">
    <mergeCell ref="A41:H41"/>
    <mergeCell ref="A7:C7"/>
    <mergeCell ref="A8:C8"/>
    <mergeCell ref="A9:C9"/>
    <mergeCell ref="D7:H7"/>
    <mergeCell ref="D8:H8"/>
    <mergeCell ref="D9:H9"/>
    <mergeCell ref="E16:H16"/>
    <mergeCell ref="E17:H17"/>
    <mergeCell ref="E29:H29"/>
    <mergeCell ref="B30:B36"/>
    <mergeCell ref="D30:D36"/>
    <mergeCell ref="E30:H36"/>
    <mergeCell ref="E10:H10"/>
    <mergeCell ref="A6:C6"/>
    <mergeCell ref="A1:H1"/>
    <mergeCell ref="A2:H2"/>
    <mergeCell ref="A3:H4"/>
    <mergeCell ref="A5:C5"/>
    <mergeCell ref="D5:H5"/>
    <mergeCell ref="D6:H6"/>
  </mergeCells>
  <pageMargins left="0.7" right="0.7" top="0.75" bottom="0.75" header="0.3" footer="0.3"/>
  <pageSetup paperSize="9" scale="93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3"/>
  <sheetViews>
    <sheetView topLeftCell="A7" zoomScale="120" zoomScaleNormal="120" workbookViewId="0">
      <selection activeCell="A21" sqref="A21:N21"/>
    </sheetView>
  </sheetViews>
  <sheetFormatPr defaultRowHeight="15"/>
  <cols>
    <col min="1" max="1" width="11" customWidth="1"/>
    <col min="2" max="2" width="11.7109375" customWidth="1"/>
    <col min="3" max="3" width="20.5703125" customWidth="1"/>
    <col min="4" max="4" width="14" customWidth="1"/>
    <col min="5" max="6" width="15.85546875" customWidth="1"/>
    <col min="7" max="7" width="12.7109375" customWidth="1"/>
    <col min="8" max="8" width="16.5703125" customWidth="1"/>
    <col min="9" max="9" width="16" customWidth="1"/>
    <col min="10" max="10" width="13.42578125" customWidth="1"/>
    <col min="11" max="11" width="12.42578125" customWidth="1"/>
    <col min="12" max="12" width="11.28515625" bestFit="1" customWidth="1"/>
    <col min="13" max="13" width="37.85546875" customWidth="1"/>
    <col min="14" max="14" width="23.7109375" customWidth="1"/>
  </cols>
  <sheetData>
    <row r="2" spans="1:14" ht="22.5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23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thickBot="1">
      <c r="A4" s="149" t="s">
        <v>79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>
      <c r="A6" s="150" t="s">
        <v>1</v>
      </c>
      <c r="B6" s="150"/>
      <c r="C6" s="150"/>
      <c r="D6" s="145" t="s">
        <v>118</v>
      </c>
      <c r="E6" s="146"/>
      <c r="F6" s="146"/>
      <c r="G6" s="146"/>
      <c r="H6" s="146"/>
      <c r="I6" s="146"/>
      <c r="J6" s="146"/>
      <c r="K6" s="146"/>
      <c r="L6" s="146"/>
      <c r="M6" s="146"/>
      <c r="N6" s="147"/>
    </row>
    <row r="7" spans="1:14">
      <c r="A7" s="151" t="s">
        <v>2</v>
      </c>
      <c r="B7" s="151"/>
      <c r="C7" s="151"/>
      <c r="D7" s="145" t="s">
        <v>3</v>
      </c>
      <c r="E7" s="146"/>
      <c r="F7" s="146"/>
      <c r="G7" s="146"/>
      <c r="H7" s="146"/>
      <c r="I7" s="146"/>
      <c r="J7" s="146"/>
      <c r="K7" s="146"/>
      <c r="L7" s="146"/>
      <c r="M7" s="146"/>
      <c r="N7" s="147"/>
    </row>
    <row r="8" spans="1:14">
      <c r="A8" s="151" t="s">
        <v>4</v>
      </c>
      <c r="B8" s="151"/>
      <c r="C8" s="151"/>
      <c r="D8" s="145" t="s">
        <v>142</v>
      </c>
      <c r="E8" s="146"/>
      <c r="F8" s="146"/>
      <c r="G8" s="146"/>
      <c r="H8" s="146"/>
      <c r="I8" s="146"/>
      <c r="J8" s="146"/>
      <c r="K8" s="146"/>
      <c r="L8" s="146"/>
      <c r="M8" s="146"/>
      <c r="N8" s="147"/>
    </row>
    <row r="9" spans="1:14">
      <c r="A9" s="151" t="s">
        <v>5</v>
      </c>
      <c r="B9" s="151"/>
      <c r="C9" s="151"/>
      <c r="D9" s="145" t="s">
        <v>143</v>
      </c>
      <c r="E9" s="146"/>
      <c r="F9" s="146"/>
      <c r="G9" s="146"/>
      <c r="H9" s="146"/>
      <c r="I9" s="146"/>
      <c r="J9" s="146"/>
      <c r="K9" s="146"/>
      <c r="L9" s="146"/>
      <c r="M9" s="146"/>
      <c r="N9" s="147"/>
    </row>
    <row r="10" spans="1:14" ht="15.75" thickBot="1">
      <c r="A10" s="156" t="s">
        <v>6</v>
      </c>
      <c r="B10" s="156"/>
      <c r="C10" s="156"/>
      <c r="D10" s="161" t="s">
        <v>144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3"/>
    </row>
    <row r="11" spans="1:14">
      <c r="A11" s="2" t="s">
        <v>7</v>
      </c>
      <c r="B11" s="3" t="s">
        <v>8</v>
      </c>
      <c r="C11" s="4" t="s">
        <v>9</v>
      </c>
      <c r="D11" s="5" t="s">
        <v>10</v>
      </c>
      <c r="E11" s="5" t="s">
        <v>11</v>
      </c>
      <c r="F11" s="5" t="s">
        <v>12</v>
      </c>
      <c r="G11" s="6" t="s">
        <v>13</v>
      </c>
      <c r="H11" s="6" t="s">
        <v>14</v>
      </c>
      <c r="I11" s="7" t="s">
        <v>15</v>
      </c>
      <c r="J11" s="6" t="s">
        <v>77</v>
      </c>
      <c r="K11" s="6" t="s">
        <v>16</v>
      </c>
      <c r="L11" s="5" t="s">
        <v>17</v>
      </c>
      <c r="M11" s="5" t="s">
        <v>18</v>
      </c>
      <c r="N11" s="8" t="s">
        <v>19</v>
      </c>
    </row>
    <row r="12" spans="1:14">
      <c r="A12" s="9" t="s">
        <v>20</v>
      </c>
      <c r="B12" s="10" t="s">
        <v>21</v>
      </c>
      <c r="C12" s="11" t="s">
        <v>22</v>
      </c>
      <c r="D12" s="11" t="s">
        <v>23</v>
      </c>
      <c r="E12" s="12" t="s">
        <v>24</v>
      </c>
      <c r="F12" s="12" t="s">
        <v>25</v>
      </c>
      <c r="G12" s="12" t="s">
        <v>26</v>
      </c>
      <c r="H12" s="12" t="s">
        <v>27</v>
      </c>
      <c r="I12" s="7" t="s">
        <v>28</v>
      </c>
      <c r="J12" s="13" t="s">
        <v>29</v>
      </c>
      <c r="K12" s="13" t="s">
        <v>30</v>
      </c>
      <c r="L12" s="12" t="s">
        <v>30</v>
      </c>
      <c r="M12" s="12" t="s">
        <v>31</v>
      </c>
      <c r="N12" s="14" t="s">
        <v>32</v>
      </c>
    </row>
    <row r="13" spans="1:14" ht="15.75" thickBot="1">
      <c r="A13" s="15"/>
      <c r="B13" s="10"/>
      <c r="C13" s="11" t="s">
        <v>33</v>
      </c>
      <c r="D13" s="11" t="s">
        <v>34</v>
      </c>
      <c r="E13" s="12"/>
      <c r="F13" s="12" t="s">
        <v>35</v>
      </c>
      <c r="G13" s="13" t="s">
        <v>35</v>
      </c>
      <c r="H13" s="13" t="s">
        <v>35</v>
      </c>
      <c r="I13" s="20"/>
      <c r="J13" s="13"/>
      <c r="K13" s="13" t="s">
        <v>36</v>
      </c>
      <c r="L13" s="13" t="s">
        <v>36</v>
      </c>
      <c r="M13" s="13" t="s">
        <v>37</v>
      </c>
      <c r="N13" s="14" t="s">
        <v>24</v>
      </c>
    </row>
    <row r="14" spans="1:14" ht="34.5" thickBot="1">
      <c r="A14" s="98">
        <v>1</v>
      </c>
      <c r="B14" s="86" t="s">
        <v>145</v>
      </c>
      <c r="C14" s="86" t="s">
        <v>146</v>
      </c>
      <c r="D14" s="58">
        <v>958</v>
      </c>
      <c r="E14" s="94" t="s">
        <v>147</v>
      </c>
      <c r="F14" s="97">
        <v>714600</v>
      </c>
      <c r="G14" s="95">
        <v>0</v>
      </c>
      <c r="H14" s="96">
        <f>(141337.82+1057.41+24539.84+127525.72+6135.03+15422.29+6135.03)-39340.7</f>
        <v>282812.44000000006</v>
      </c>
      <c r="I14" s="96">
        <f>305062.96+455.66</f>
        <v>305518.62</v>
      </c>
      <c r="J14" s="96">
        <v>23006.13</v>
      </c>
      <c r="K14" s="84">
        <v>44385</v>
      </c>
      <c r="L14" s="84">
        <v>45665</v>
      </c>
      <c r="M14" s="85" t="s">
        <v>84</v>
      </c>
      <c r="N14" s="85" t="s">
        <v>148</v>
      </c>
    </row>
    <row r="15" spans="1:14" ht="34.5" thickBot="1">
      <c r="A15" s="98">
        <v>2</v>
      </c>
      <c r="B15" s="86" t="s">
        <v>149</v>
      </c>
      <c r="C15" s="86" t="s">
        <v>150</v>
      </c>
      <c r="D15" s="58">
        <v>1012</v>
      </c>
      <c r="E15" s="94" t="s">
        <v>147</v>
      </c>
      <c r="F15" s="97">
        <v>324900</v>
      </c>
      <c r="G15" s="95">
        <v>0</v>
      </c>
      <c r="H15" s="96">
        <f>166471.53+989+22142.82+6.29+11071.4+4428.56</f>
        <v>205109.6</v>
      </c>
      <c r="I15" s="96">
        <f>221427.9+82.71</f>
        <v>221510.61</v>
      </c>
      <c r="J15" s="96">
        <v>16607.080000000002</v>
      </c>
      <c r="K15" s="84" t="s">
        <v>151</v>
      </c>
      <c r="L15" s="84" t="s">
        <v>152</v>
      </c>
      <c r="M15" s="85" t="s">
        <v>84</v>
      </c>
      <c r="N15" s="86" t="s">
        <v>148</v>
      </c>
    </row>
    <row r="16" spans="1:14" ht="33.75">
      <c r="A16" s="99">
        <v>3</v>
      </c>
      <c r="B16" s="86" t="s">
        <v>153</v>
      </c>
      <c r="C16" s="86" t="s">
        <v>154</v>
      </c>
      <c r="D16" s="59">
        <v>1191</v>
      </c>
      <c r="E16" s="94" t="s">
        <v>147</v>
      </c>
      <c r="F16" s="101" t="s">
        <v>159</v>
      </c>
      <c r="G16" s="95">
        <v>0</v>
      </c>
      <c r="H16" s="96">
        <f>321676+589.5+4638.94+12576.48+9277.86+33812.8+89340.21+9277.86+23194.64</f>
        <v>504384.29</v>
      </c>
      <c r="I16" s="96">
        <f>214913.15+565.34</f>
        <v>215478.49</v>
      </c>
      <c r="J16" s="96">
        <v>35444.46</v>
      </c>
      <c r="K16" s="84">
        <v>45272</v>
      </c>
      <c r="L16" s="84">
        <v>46733</v>
      </c>
      <c r="M16" s="85" t="s">
        <v>84</v>
      </c>
      <c r="N16" s="85" t="s">
        <v>148</v>
      </c>
    </row>
    <row r="17" spans="1:14" ht="33.75">
      <c r="A17" s="58">
        <v>4</v>
      </c>
      <c r="B17" s="94" t="s">
        <v>161</v>
      </c>
      <c r="C17" s="94" t="s">
        <v>160</v>
      </c>
      <c r="D17" s="59">
        <v>1211</v>
      </c>
      <c r="E17" s="94" t="s">
        <v>162</v>
      </c>
      <c r="F17" s="100">
        <v>47282.8</v>
      </c>
      <c r="G17" s="95">
        <v>0</v>
      </c>
      <c r="H17" s="96">
        <f>(32175.82+491.09+3288.02)-1460</f>
        <v>34494.93</v>
      </c>
      <c r="I17" s="96">
        <f>23641.4+60.68</f>
        <v>23702.080000000002</v>
      </c>
      <c r="J17" s="96">
        <v>1208.8800000000001</v>
      </c>
      <c r="K17" s="84">
        <v>45301</v>
      </c>
      <c r="L17" s="84">
        <v>46072</v>
      </c>
      <c r="M17" s="85" t="s">
        <v>158</v>
      </c>
      <c r="N17" s="85" t="s">
        <v>131</v>
      </c>
    </row>
    <row r="18" spans="1:14" ht="33.75">
      <c r="A18" s="58">
        <v>5</v>
      </c>
      <c r="B18" s="86" t="s">
        <v>167</v>
      </c>
      <c r="C18" s="94" t="s">
        <v>164</v>
      </c>
      <c r="D18" s="59">
        <v>1216</v>
      </c>
      <c r="E18" s="94" t="s">
        <v>165</v>
      </c>
      <c r="F18" s="100">
        <v>421500</v>
      </c>
      <c r="G18" s="95">
        <v>0</v>
      </c>
      <c r="H18" s="96">
        <v>0</v>
      </c>
      <c r="I18" s="96">
        <v>0</v>
      </c>
      <c r="J18" s="96">
        <v>0</v>
      </c>
      <c r="K18" s="84">
        <v>45322</v>
      </c>
      <c r="L18" s="84">
        <v>46418</v>
      </c>
      <c r="M18" s="85" t="s">
        <v>84</v>
      </c>
      <c r="N18" s="85" t="s">
        <v>166</v>
      </c>
    </row>
    <row r="19" spans="1:14">
      <c r="A19" s="87"/>
      <c r="B19" s="88"/>
      <c r="C19" s="89"/>
      <c r="D19" s="88"/>
      <c r="E19" s="89"/>
      <c r="F19" s="90"/>
      <c r="G19" s="91"/>
      <c r="H19" s="91"/>
      <c r="I19" s="91"/>
      <c r="J19" s="91"/>
      <c r="K19" s="92"/>
      <c r="L19" s="92"/>
      <c r="M19" s="81"/>
      <c r="N19" s="81"/>
    </row>
    <row r="20" spans="1:14" ht="15.75" thickBot="1">
      <c r="A20" s="87"/>
      <c r="B20" s="88"/>
      <c r="C20" s="89"/>
      <c r="D20" s="88"/>
      <c r="E20" s="89"/>
      <c r="F20" s="90"/>
      <c r="G20" s="91"/>
      <c r="H20" s="91"/>
      <c r="I20" s="91"/>
      <c r="J20" s="91"/>
      <c r="K20" s="92"/>
      <c r="L20" s="92"/>
      <c r="M20" s="81"/>
      <c r="N20" s="81"/>
    </row>
    <row r="21" spans="1:14" ht="15.75" thickBot="1">
      <c r="A21" s="157" t="s">
        <v>80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</row>
    <row r="22" spans="1:14" ht="15.75" thickBot="1">
      <c r="A22" s="152" t="s">
        <v>81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</row>
    <row r="23" spans="1:14">
      <c r="A23" s="152" t="s">
        <v>82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</row>
    <row r="24" spans="1:14">
      <c r="A24" s="153" t="s">
        <v>83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</row>
    <row r="25" spans="1:14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4"/>
      <c r="L25" s="24"/>
      <c r="M25" s="24"/>
      <c r="N25" s="25"/>
    </row>
    <row r="26" spans="1:14">
      <c r="A26" s="22" t="s">
        <v>39</v>
      </c>
      <c r="B26" s="26"/>
      <c r="C26" s="27"/>
      <c r="D26" s="27"/>
      <c r="E26" s="23"/>
      <c r="F26" s="23"/>
      <c r="G26" s="23"/>
      <c r="H26" s="23"/>
      <c r="I26" s="23"/>
      <c r="J26" s="23"/>
      <c r="K26" s="27"/>
      <c r="L26" s="27"/>
      <c r="M26" s="27"/>
      <c r="N26" s="28"/>
    </row>
    <row r="27" spans="1:14">
      <c r="A27" s="22"/>
      <c r="B27" s="154" t="s">
        <v>40</v>
      </c>
      <c r="C27" s="154"/>
      <c r="D27" s="154"/>
      <c r="E27" s="23"/>
      <c r="F27" s="23"/>
      <c r="G27" s="23"/>
      <c r="H27" s="23"/>
      <c r="I27" s="23"/>
      <c r="J27" s="23"/>
      <c r="K27" s="155" t="s">
        <v>41</v>
      </c>
      <c r="L27" s="155"/>
      <c r="M27" s="155"/>
      <c r="N27" s="155"/>
    </row>
    <row r="28" spans="1:14">
      <c r="A28" s="22"/>
      <c r="B28" s="29" t="s">
        <v>155</v>
      </c>
      <c r="C28" s="30"/>
      <c r="D28" s="30"/>
      <c r="E28" s="23"/>
      <c r="F28" s="23"/>
      <c r="G28" s="23"/>
      <c r="H28" s="23"/>
      <c r="I28" s="23"/>
      <c r="J28" s="23"/>
      <c r="K28" s="31" t="s">
        <v>138</v>
      </c>
      <c r="L28" s="30"/>
      <c r="M28" s="30"/>
      <c r="N28" s="32"/>
    </row>
    <row r="29" spans="1:14">
      <c r="A29" s="22"/>
      <c r="B29" s="189" t="s">
        <v>156</v>
      </c>
      <c r="C29" s="189"/>
      <c r="D29" s="30" t="s">
        <v>157</v>
      </c>
      <c r="E29" s="23"/>
      <c r="F29" s="23"/>
      <c r="G29" s="23"/>
      <c r="H29" s="23"/>
      <c r="I29" s="23"/>
      <c r="J29" s="23"/>
      <c r="K29" s="31" t="s">
        <v>139</v>
      </c>
      <c r="L29" s="30"/>
      <c r="M29" s="30"/>
      <c r="N29" s="32"/>
    </row>
    <row r="30" spans="1:14" ht="15.75" thickBot="1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</row>
    <row r="31" spans="1:14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4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4">
      <c r="A33" s="36" t="s">
        <v>45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</sheetData>
  <mergeCells count="19">
    <mergeCell ref="B29:C29"/>
    <mergeCell ref="A21:N21"/>
    <mergeCell ref="A22:N22"/>
    <mergeCell ref="A23:N23"/>
    <mergeCell ref="A24:N24"/>
    <mergeCell ref="B27:D27"/>
    <mergeCell ref="K27:N27"/>
    <mergeCell ref="A8:C8"/>
    <mergeCell ref="D8:N8"/>
    <mergeCell ref="A9:C9"/>
    <mergeCell ref="D9:N9"/>
    <mergeCell ref="A10:C10"/>
    <mergeCell ref="D10:N10"/>
    <mergeCell ref="A2:N2"/>
    <mergeCell ref="A4:N5"/>
    <mergeCell ref="A6:C6"/>
    <mergeCell ref="D6:N6"/>
    <mergeCell ref="A7:C7"/>
    <mergeCell ref="D7:N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4"/>
  <sheetViews>
    <sheetView topLeftCell="A10" workbookViewId="0">
      <selection activeCell="E19" sqref="E19"/>
    </sheetView>
  </sheetViews>
  <sheetFormatPr defaultRowHeight="15"/>
  <cols>
    <col min="2" max="2" width="18.5703125" customWidth="1"/>
    <col min="3" max="3" width="17.7109375" customWidth="1"/>
    <col min="4" max="4" width="19.7109375" customWidth="1"/>
    <col min="5" max="5" width="28.42578125" customWidth="1"/>
    <col min="6" max="6" width="21.5703125" customWidth="1"/>
    <col min="7" max="7" width="16.140625" customWidth="1"/>
    <col min="8" max="8" width="17.5703125" customWidth="1"/>
    <col min="10" max="11" width="12.7109375" bestFit="1" customWidth="1"/>
  </cols>
  <sheetData>
    <row r="1" spans="1:8" ht="22.5">
      <c r="A1" s="165" t="s">
        <v>0</v>
      </c>
      <c r="B1" s="165"/>
      <c r="C1" s="165"/>
      <c r="D1" s="165"/>
      <c r="E1" s="165"/>
      <c r="F1" s="165"/>
      <c r="G1" s="165"/>
      <c r="H1" s="165"/>
    </row>
    <row r="2" spans="1:8" ht="15.75" thickBot="1">
      <c r="A2" s="166" t="s">
        <v>46</v>
      </c>
      <c r="B2" s="166"/>
      <c r="C2" s="166"/>
      <c r="D2" s="166"/>
      <c r="E2" s="166"/>
      <c r="F2" s="166"/>
      <c r="G2" s="166"/>
      <c r="H2" s="166"/>
    </row>
    <row r="3" spans="1:8" ht="15.75" thickBot="1">
      <c r="A3" s="167" t="s">
        <v>78</v>
      </c>
      <c r="B3" s="167"/>
      <c r="C3" s="167"/>
      <c r="D3" s="167"/>
      <c r="E3" s="167"/>
      <c r="F3" s="167"/>
      <c r="G3" s="167"/>
      <c r="H3" s="167"/>
    </row>
    <row r="4" spans="1:8">
      <c r="A4" s="167"/>
      <c r="B4" s="167"/>
      <c r="C4" s="167"/>
      <c r="D4" s="167"/>
      <c r="E4" s="167"/>
      <c r="F4" s="167"/>
      <c r="G4" s="167"/>
      <c r="H4" s="167"/>
    </row>
    <row r="5" spans="1:8">
      <c r="A5" s="164" t="s">
        <v>1</v>
      </c>
      <c r="B5" s="164"/>
      <c r="C5" s="164"/>
      <c r="D5" s="145" t="s">
        <v>118</v>
      </c>
      <c r="E5" s="146"/>
      <c r="F5" s="146"/>
      <c r="G5" s="146"/>
      <c r="H5" s="168"/>
    </row>
    <row r="6" spans="1:8">
      <c r="A6" s="164" t="s">
        <v>2</v>
      </c>
      <c r="B6" s="164"/>
      <c r="C6" s="164"/>
      <c r="D6" s="145" t="s">
        <v>3</v>
      </c>
      <c r="E6" s="146"/>
      <c r="F6" s="146"/>
      <c r="G6" s="146"/>
      <c r="H6" s="168"/>
    </row>
    <row r="7" spans="1:8">
      <c r="A7" s="164" t="s">
        <v>4</v>
      </c>
      <c r="B7" s="164"/>
      <c r="C7" s="164"/>
      <c r="D7" s="145" t="s">
        <v>142</v>
      </c>
      <c r="E7" s="146"/>
      <c r="F7" s="146"/>
      <c r="G7" s="146"/>
      <c r="H7" s="168"/>
    </row>
    <row r="8" spans="1:8">
      <c r="A8" s="164" t="s">
        <v>5</v>
      </c>
      <c r="B8" s="164"/>
      <c r="C8" s="164"/>
      <c r="D8" s="145" t="s">
        <v>143</v>
      </c>
      <c r="E8" s="146"/>
      <c r="F8" s="146"/>
      <c r="G8" s="146"/>
      <c r="H8" s="168"/>
    </row>
    <row r="9" spans="1:8" ht="15.75" thickBot="1">
      <c r="A9" s="171" t="s">
        <v>6</v>
      </c>
      <c r="B9" s="171"/>
      <c r="C9" s="171"/>
      <c r="D9" s="161" t="s">
        <v>144</v>
      </c>
      <c r="E9" s="162"/>
      <c r="F9" s="162"/>
      <c r="G9" s="162"/>
      <c r="H9" s="172"/>
    </row>
    <row r="10" spans="1:8" ht="15.75" thickBot="1">
      <c r="E10" s="188" t="s">
        <v>47</v>
      </c>
      <c r="F10" s="188"/>
      <c r="G10" s="188"/>
      <c r="H10" s="188"/>
    </row>
    <row r="11" spans="1:8">
      <c r="A11" s="37" t="s">
        <v>7</v>
      </c>
      <c r="B11" s="37" t="s">
        <v>48</v>
      </c>
      <c r="C11" s="37" t="s">
        <v>49</v>
      </c>
      <c r="D11" s="5" t="s">
        <v>10</v>
      </c>
      <c r="E11" s="38" t="s">
        <v>51</v>
      </c>
      <c r="F11" s="37" t="s">
        <v>52</v>
      </c>
      <c r="G11" s="37" t="s">
        <v>53</v>
      </c>
      <c r="H11" s="37" t="s">
        <v>54</v>
      </c>
    </row>
    <row r="12" spans="1:8">
      <c r="A12" s="39" t="s">
        <v>55</v>
      </c>
      <c r="B12" s="39" t="s">
        <v>21</v>
      </c>
      <c r="C12" s="39" t="s">
        <v>33</v>
      </c>
      <c r="D12" s="11" t="s">
        <v>23</v>
      </c>
      <c r="E12" s="40" t="s">
        <v>57</v>
      </c>
      <c r="F12" s="39" t="s">
        <v>58</v>
      </c>
      <c r="G12" s="39" t="s">
        <v>59</v>
      </c>
      <c r="H12" s="39" t="s">
        <v>60</v>
      </c>
    </row>
    <row r="13" spans="1:8">
      <c r="A13" s="39"/>
      <c r="B13" s="39"/>
      <c r="C13" s="39"/>
      <c r="D13" s="11" t="s">
        <v>34</v>
      </c>
      <c r="E13" s="40"/>
      <c r="F13" s="39" t="s">
        <v>61</v>
      </c>
      <c r="G13" s="39" t="s">
        <v>62</v>
      </c>
      <c r="H13" s="39" t="s">
        <v>63</v>
      </c>
    </row>
    <row r="14" spans="1:8">
      <c r="A14" s="39"/>
      <c r="B14" s="39"/>
      <c r="C14" s="39"/>
      <c r="D14" s="39"/>
      <c r="E14" s="40"/>
      <c r="F14" s="39" t="s">
        <v>129</v>
      </c>
      <c r="G14" s="39" t="s">
        <v>64</v>
      </c>
      <c r="H14" s="39" t="s">
        <v>60</v>
      </c>
    </row>
    <row r="15" spans="1:8" ht="15.75" thickBot="1">
      <c r="A15" s="41"/>
      <c r="B15" s="39"/>
      <c r="C15" s="39"/>
      <c r="D15" s="39"/>
      <c r="E15" s="104"/>
      <c r="F15" s="39"/>
      <c r="G15" s="39" t="s">
        <v>129</v>
      </c>
      <c r="H15" s="39" t="s">
        <v>65</v>
      </c>
    </row>
    <row r="16" spans="1:8">
      <c r="A16" s="102">
        <v>1</v>
      </c>
      <c r="B16" s="86" t="s">
        <v>145</v>
      </c>
      <c r="C16" s="86" t="s">
        <v>146</v>
      </c>
      <c r="D16" s="58">
        <v>958</v>
      </c>
      <c r="E16" s="105" t="s">
        <v>148</v>
      </c>
      <c r="F16" s="109" t="s">
        <v>168</v>
      </c>
      <c r="G16" s="110">
        <f>6184.32+895.68+5176.29+1903.71+5618.82+681.18+5060+348.65+4121.16+178.84+1928.29+671.71+2986.8+13.2</f>
        <v>35768.65</v>
      </c>
      <c r="H16" s="105" t="s">
        <v>84</v>
      </c>
    </row>
    <row r="17" spans="1:11">
      <c r="A17" s="103">
        <v>2</v>
      </c>
      <c r="B17" s="86" t="s">
        <v>145</v>
      </c>
      <c r="C17" s="86" t="s">
        <v>146</v>
      </c>
      <c r="D17" s="58">
        <v>958</v>
      </c>
      <c r="E17" s="111" t="s">
        <v>169</v>
      </c>
      <c r="F17" s="109" t="s">
        <v>168</v>
      </c>
      <c r="G17" s="110">
        <f>6358.32+961.68+4654.29+1705.71+2798.29+1001.71+2000</f>
        <v>19480</v>
      </c>
      <c r="H17" s="105" t="s">
        <v>84</v>
      </c>
    </row>
    <row r="18" spans="1:11">
      <c r="A18" s="102">
        <v>3</v>
      </c>
      <c r="B18" s="86" t="s">
        <v>145</v>
      </c>
      <c r="C18" s="86" t="s">
        <v>146</v>
      </c>
      <c r="D18" s="58">
        <v>958</v>
      </c>
      <c r="E18" s="111" t="s">
        <v>170</v>
      </c>
      <c r="F18" s="109" t="s">
        <v>168</v>
      </c>
      <c r="G18" s="110">
        <f>720+1680+600+1800</f>
        <v>4800</v>
      </c>
      <c r="H18" s="105" t="s">
        <v>84</v>
      </c>
    </row>
    <row r="19" spans="1:11">
      <c r="A19" s="103">
        <v>4</v>
      </c>
      <c r="B19" s="86" t="s">
        <v>149</v>
      </c>
      <c r="C19" s="86" t="s">
        <v>150</v>
      </c>
      <c r="D19" s="108">
        <v>1012</v>
      </c>
      <c r="E19" s="113" t="s">
        <v>171</v>
      </c>
      <c r="F19" s="107" t="s">
        <v>96</v>
      </c>
      <c r="G19" s="112">
        <f>1680+2400+3424.16+55.84</f>
        <v>7560</v>
      </c>
      <c r="H19" s="105" t="s">
        <v>84</v>
      </c>
    </row>
    <row r="20" spans="1:11">
      <c r="A20" s="102">
        <v>5</v>
      </c>
      <c r="B20" s="86" t="s">
        <v>149</v>
      </c>
      <c r="C20" s="86" t="s">
        <v>150</v>
      </c>
      <c r="D20" s="108">
        <v>1012</v>
      </c>
      <c r="E20" s="111" t="s">
        <v>148</v>
      </c>
      <c r="F20" s="109" t="s">
        <v>168</v>
      </c>
      <c r="G20" s="112">
        <f>6120+6532.32+5662.32+697.68+1027.68+1087.5+412.5+2986.8+13.2+2986.8+13.2</f>
        <v>27540</v>
      </c>
      <c r="H20" s="111" t="s">
        <v>84</v>
      </c>
    </row>
    <row r="21" spans="1:11">
      <c r="A21" s="103">
        <v>6</v>
      </c>
      <c r="B21" s="86" t="s">
        <v>149</v>
      </c>
      <c r="C21" s="86" t="s">
        <v>150</v>
      </c>
      <c r="D21" s="108">
        <v>1012</v>
      </c>
      <c r="E21" s="111" t="s">
        <v>169</v>
      </c>
      <c r="F21" s="109" t="s">
        <v>168</v>
      </c>
      <c r="G21" s="112">
        <f>4211.53+5488.32+3628.16+91.84+4509.85+290.15+1900+3951.16+148.84+2000+631.68</f>
        <v>26851.53</v>
      </c>
      <c r="H21" s="111" t="s">
        <v>84</v>
      </c>
    </row>
    <row r="22" spans="1:11">
      <c r="A22" s="102">
        <v>7</v>
      </c>
      <c r="B22" s="86" t="s">
        <v>149</v>
      </c>
      <c r="C22" s="86" t="s">
        <v>150</v>
      </c>
      <c r="D22" s="108">
        <v>1012</v>
      </c>
      <c r="E22" s="111" t="s">
        <v>170</v>
      </c>
      <c r="F22" s="109" t="s">
        <v>168</v>
      </c>
      <c r="G22" s="112">
        <f>720+720+720+600</f>
        <v>2760</v>
      </c>
      <c r="H22" s="111" t="s">
        <v>84</v>
      </c>
    </row>
    <row r="23" spans="1:11">
      <c r="A23" s="115">
        <v>8</v>
      </c>
      <c r="B23" s="116" t="s">
        <v>149</v>
      </c>
      <c r="C23" s="116" t="s">
        <v>150</v>
      </c>
      <c r="D23" s="117">
        <v>1012</v>
      </c>
      <c r="E23" s="118" t="s">
        <v>172</v>
      </c>
      <c r="F23" s="119" t="s">
        <v>168</v>
      </c>
      <c r="G23" s="112">
        <f>1200+1200</f>
        <v>2400</v>
      </c>
      <c r="H23" s="120" t="s">
        <v>84</v>
      </c>
    </row>
    <row r="24" spans="1:11">
      <c r="A24" s="108">
        <v>10</v>
      </c>
      <c r="B24" s="86" t="s">
        <v>153</v>
      </c>
      <c r="C24" s="86" t="s">
        <v>154</v>
      </c>
      <c r="D24" s="108">
        <v>1191</v>
      </c>
      <c r="E24" s="121" t="s">
        <v>173</v>
      </c>
      <c r="F24" s="122" t="s">
        <v>168</v>
      </c>
      <c r="G24" s="112">
        <f>1500</f>
        <v>1500</v>
      </c>
      <c r="H24" s="105" t="s">
        <v>84</v>
      </c>
      <c r="J24" s="114"/>
    </row>
    <row r="25" spans="1:11">
      <c r="A25" s="108">
        <v>11</v>
      </c>
      <c r="B25" s="86" t="s">
        <v>153</v>
      </c>
      <c r="C25" s="86" t="s">
        <v>154</v>
      </c>
      <c r="D25" s="108">
        <v>1191</v>
      </c>
      <c r="E25" s="123" t="s">
        <v>148</v>
      </c>
      <c r="F25" s="122" t="s">
        <v>168</v>
      </c>
      <c r="G25" s="112">
        <f>4171.66+191.97+3163.63+1200+3172.1+1191.53+3211.29+1152.34+4171.66+191.97+3403.15+960.48+3403.15+960.48+3403.15+960.48</f>
        <v>34909.040000000008</v>
      </c>
      <c r="H25" s="105" t="s">
        <v>84</v>
      </c>
      <c r="J25" s="114"/>
    </row>
    <row r="26" spans="1:11">
      <c r="A26" s="108">
        <v>12</v>
      </c>
      <c r="B26" s="86" t="s">
        <v>153</v>
      </c>
      <c r="C26" s="86" t="s">
        <v>154</v>
      </c>
      <c r="D26" s="108">
        <v>1191</v>
      </c>
      <c r="E26" s="124" t="s">
        <v>169</v>
      </c>
      <c r="F26" s="122" t="s">
        <v>168</v>
      </c>
      <c r="G26" s="112">
        <f>4171.66+191.97+3185.1+1178.53+3692.45+671.18+3236.29+1127.34+4171.66+191.97+3664.95+698.68+3664.95+698.68+3719.95+643.68</f>
        <v>34909.040000000001</v>
      </c>
      <c r="H26" s="105" t="s">
        <v>84</v>
      </c>
      <c r="J26" s="114"/>
    </row>
    <row r="27" spans="1:11">
      <c r="A27" s="108">
        <v>13</v>
      </c>
      <c r="B27" s="86" t="s">
        <v>153</v>
      </c>
      <c r="C27" s="86" t="s">
        <v>154</v>
      </c>
      <c r="D27" s="108">
        <v>1191</v>
      </c>
      <c r="E27" s="124" t="s">
        <v>174</v>
      </c>
      <c r="F27" s="122" t="s">
        <v>168</v>
      </c>
      <c r="G27" s="112">
        <f>3171.8+28.2</f>
        <v>3200</v>
      </c>
      <c r="H27" s="105" t="s">
        <v>84</v>
      </c>
      <c r="J27" s="114"/>
    </row>
    <row r="28" spans="1:11">
      <c r="A28" s="108">
        <v>14</v>
      </c>
      <c r="B28" s="86" t="s">
        <v>153</v>
      </c>
      <c r="C28" s="86" t="s">
        <v>154</v>
      </c>
      <c r="D28" s="108">
        <v>1191</v>
      </c>
      <c r="E28" s="124" t="s">
        <v>175</v>
      </c>
      <c r="F28" s="122" t="s">
        <v>168</v>
      </c>
      <c r="G28" s="112">
        <f>2200</f>
        <v>2200</v>
      </c>
      <c r="H28" s="105" t="s">
        <v>84</v>
      </c>
      <c r="J28" s="114"/>
    </row>
    <row r="29" spans="1:11">
      <c r="A29" s="108">
        <v>15</v>
      </c>
      <c r="B29" s="86" t="s">
        <v>153</v>
      </c>
      <c r="C29" s="86" t="s">
        <v>154</v>
      </c>
      <c r="D29" s="108">
        <v>1191</v>
      </c>
      <c r="E29" s="124" t="s">
        <v>170</v>
      </c>
      <c r="F29" s="122" t="s">
        <v>168</v>
      </c>
      <c r="G29" s="112">
        <f>600+600+600+600+600+600</f>
        <v>3600</v>
      </c>
      <c r="H29" s="105" t="s">
        <v>84</v>
      </c>
      <c r="J29" s="114"/>
    </row>
    <row r="30" spans="1:11">
      <c r="A30" s="108">
        <v>16</v>
      </c>
      <c r="B30" s="86" t="s">
        <v>153</v>
      </c>
      <c r="C30" s="86" t="s">
        <v>154</v>
      </c>
      <c r="D30" s="108">
        <v>1191</v>
      </c>
      <c r="E30" s="124" t="s">
        <v>176</v>
      </c>
      <c r="F30" s="122" t="s">
        <v>168</v>
      </c>
      <c r="G30" s="112">
        <v>800</v>
      </c>
      <c r="H30" s="105" t="s">
        <v>84</v>
      </c>
      <c r="J30" s="114"/>
    </row>
    <row r="31" spans="1:11" ht="22.5">
      <c r="A31" s="108">
        <v>17</v>
      </c>
      <c r="B31" s="94" t="s">
        <v>161</v>
      </c>
      <c r="C31" s="86" t="s">
        <v>160</v>
      </c>
      <c r="D31" s="108">
        <v>1211</v>
      </c>
      <c r="E31" s="190" t="s">
        <v>121</v>
      </c>
      <c r="F31" s="190"/>
      <c r="G31" s="190"/>
      <c r="H31" s="190"/>
      <c r="K31" s="114"/>
    </row>
    <row r="32" spans="1:11">
      <c r="A32" s="108">
        <v>18</v>
      </c>
      <c r="B32" s="86" t="s">
        <v>167</v>
      </c>
      <c r="C32" s="86" t="s">
        <v>164</v>
      </c>
      <c r="D32" s="108">
        <v>1216</v>
      </c>
      <c r="E32" s="190" t="s">
        <v>121</v>
      </c>
      <c r="F32" s="190"/>
      <c r="G32" s="190"/>
      <c r="H32" s="190"/>
    </row>
    <row r="33" spans="1:8">
      <c r="A33" s="49" t="s">
        <v>66</v>
      </c>
      <c r="B33" s="50"/>
      <c r="C33" s="50"/>
      <c r="D33" s="50"/>
      <c r="E33" s="50"/>
      <c r="F33" s="51"/>
      <c r="G33" s="51"/>
      <c r="H33" s="51"/>
    </row>
    <row r="34" spans="1:8">
      <c r="A34" s="52" t="s">
        <v>67</v>
      </c>
      <c r="B34" s="46"/>
      <c r="C34" s="46"/>
      <c r="D34" s="46"/>
      <c r="E34" s="46"/>
      <c r="F34" s="23"/>
      <c r="G34" s="23"/>
      <c r="H34" s="23"/>
    </row>
    <row r="35" spans="1:8">
      <c r="A35" s="52" t="s">
        <v>68</v>
      </c>
      <c r="B35" s="46"/>
      <c r="C35" s="46"/>
      <c r="D35" s="46"/>
      <c r="E35" s="46"/>
      <c r="F35" s="23"/>
      <c r="G35" s="23"/>
      <c r="H35" s="23"/>
    </row>
    <row r="36" spans="1:8">
      <c r="A36" s="53" t="s">
        <v>69</v>
      </c>
      <c r="B36" s="23"/>
      <c r="C36" s="23"/>
      <c r="D36" s="23"/>
      <c r="E36" s="23"/>
      <c r="F36" s="23"/>
      <c r="G36" s="23"/>
      <c r="H36" s="23"/>
    </row>
    <row r="37" spans="1:8">
      <c r="A37" s="169" t="s">
        <v>70</v>
      </c>
      <c r="B37" s="170"/>
      <c r="C37" s="170"/>
      <c r="D37" s="170"/>
      <c r="E37" s="170"/>
      <c r="F37" s="170"/>
      <c r="G37" s="170"/>
      <c r="H37" s="170"/>
    </row>
    <row r="38" spans="1:8">
      <c r="A38" s="54" t="s">
        <v>71</v>
      </c>
      <c r="B38" s="48" t="s">
        <v>72</v>
      </c>
      <c r="C38" s="48"/>
      <c r="D38" s="48"/>
      <c r="E38" s="48"/>
      <c r="F38" s="48" t="s">
        <v>73</v>
      </c>
      <c r="G38" s="48"/>
      <c r="H38" s="48"/>
    </row>
    <row r="39" spans="1:8">
      <c r="A39" s="55"/>
      <c r="B39" s="47" t="s">
        <v>40</v>
      </c>
      <c r="C39" s="48"/>
      <c r="D39" s="48"/>
      <c r="E39" s="48"/>
      <c r="F39" s="47" t="s">
        <v>41</v>
      </c>
      <c r="G39" s="48"/>
      <c r="H39" s="48"/>
    </row>
    <row r="40" spans="1:8">
      <c r="A40" s="55"/>
      <c r="B40" s="47" t="s">
        <v>74</v>
      </c>
      <c r="C40" s="48"/>
      <c r="D40" s="48"/>
      <c r="E40" s="48"/>
      <c r="F40" s="47" t="s">
        <v>138</v>
      </c>
      <c r="G40" s="48"/>
      <c r="H40" s="48"/>
    </row>
    <row r="41" spans="1:8">
      <c r="A41" s="55"/>
      <c r="B41" s="47" t="s">
        <v>75</v>
      </c>
      <c r="C41" s="48"/>
      <c r="D41" s="48"/>
      <c r="E41" s="48"/>
      <c r="F41" s="47" t="s">
        <v>163</v>
      </c>
      <c r="G41" s="48"/>
      <c r="H41" s="48"/>
    </row>
    <row r="42" spans="1:8">
      <c r="A42" s="55"/>
      <c r="B42" s="47"/>
      <c r="C42" s="48"/>
      <c r="D42" s="48"/>
      <c r="E42" s="48"/>
      <c r="F42" s="48"/>
      <c r="G42" s="48"/>
      <c r="H42" s="48"/>
    </row>
    <row r="43" spans="1:8">
      <c r="A43" s="55"/>
      <c r="B43" s="48"/>
      <c r="C43" s="48"/>
      <c r="D43" s="48"/>
      <c r="E43" s="48"/>
      <c r="F43" s="48"/>
      <c r="G43" s="48"/>
      <c r="H43" s="48"/>
    </row>
    <row r="44" spans="1:8">
      <c r="A44" s="56" t="s">
        <v>76</v>
      </c>
      <c r="B44" s="57"/>
      <c r="C44" s="57"/>
      <c r="D44" s="57"/>
      <c r="E44" s="57"/>
      <c r="F44" s="57"/>
      <c r="G44" s="57"/>
      <c r="H44" s="57"/>
    </row>
  </sheetData>
  <mergeCells count="17">
    <mergeCell ref="A37:H37"/>
    <mergeCell ref="E10:H10"/>
    <mergeCell ref="E31:H31"/>
    <mergeCell ref="E32:H32"/>
    <mergeCell ref="A7:C7"/>
    <mergeCell ref="D7:H7"/>
    <mergeCell ref="A8:C8"/>
    <mergeCell ref="D8:H8"/>
    <mergeCell ref="A9:C9"/>
    <mergeCell ref="D9:H9"/>
    <mergeCell ref="A6:C6"/>
    <mergeCell ref="D6:H6"/>
    <mergeCell ref="A1:H1"/>
    <mergeCell ref="A2:H2"/>
    <mergeCell ref="A3:H4"/>
    <mergeCell ref="A5:C5"/>
    <mergeCell ref="D5:H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35"/>
  <sheetViews>
    <sheetView topLeftCell="A4" zoomScale="110" zoomScaleNormal="110" workbookViewId="0">
      <selection activeCell="G21" sqref="G21"/>
    </sheetView>
  </sheetViews>
  <sheetFormatPr defaultRowHeight="15"/>
  <cols>
    <col min="1" max="1" width="11" customWidth="1"/>
    <col min="2" max="2" width="11.7109375" customWidth="1"/>
    <col min="3" max="3" width="20.5703125" customWidth="1"/>
    <col min="4" max="4" width="14" customWidth="1"/>
    <col min="5" max="6" width="15.85546875" customWidth="1"/>
    <col min="7" max="7" width="12.7109375" customWidth="1"/>
    <col min="8" max="8" width="16.5703125" customWidth="1"/>
    <col min="9" max="9" width="16" customWidth="1"/>
    <col min="10" max="10" width="13.42578125" customWidth="1"/>
    <col min="11" max="11" width="12.42578125" customWidth="1"/>
    <col min="12" max="12" width="11.28515625" bestFit="1" customWidth="1"/>
    <col min="13" max="13" width="37.85546875" customWidth="1"/>
    <col min="14" max="14" width="23.7109375" customWidth="1"/>
  </cols>
  <sheetData>
    <row r="2" spans="1:14" ht="22.5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23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thickBot="1">
      <c r="A4" s="149" t="s">
        <v>79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>
      <c r="A6" s="150" t="s">
        <v>1</v>
      </c>
      <c r="B6" s="150"/>
      <c r="C6" s="150"/>
      <c r="D6" s="145" t="s">
        <v>118</v>
      </c>
      <c r="E6" s="146"/>
      <c r="F6" s="146"/>
      <c r="G6" s="146"/>
      <c r="H6" s="146"/>
      <c r="I6" s="146"/>
      <c r="J6" s="146"/>
      <c r="K6" s="146"/>
      <c r="L6" s="146"/>
      <c r="M6" s="146"/>
      <c r="N6" s="147"/>
    </row>
    <row r="7" spans="1:14">
      <c r="A7" s="151" t="s">
        <v>2</v>
      </c>
      <c r="B7" s="151"/>
      <c r="C7" s="151"/>
      <c r="D7" s="145" t="s">
        <v>3</v>
      </c>
      <c r="E7" s="146"/>
      <c r="F7" s="146"/>
      <c r="G7" s="146"/>
      <c r="H7" s="146"/>
      <c r="I7" s="146"/>
      <c r="J7" s="146"/>
      <c r="K7" s="146"/>
      <c r="L7" s="146"/>
      <c r="M7" s="146"/>
      <c r="N7" s="147"/>
    </row>
    <row r="8" spans="1:14">
      <c r="A8" s="151" t="s">
        <v>4</v>
      </c>
      <c r="B8" s="151"/>
      <c r="C8" s="151"/>
      <c r="D8" s="145" t="s">
        <v>177</v>
      </c>
      <c r="E8" s="146"/>
      <c r="F8" s="146"/>
      <c r="G8" s="146"/>
      <c r="H8" s="146"/>
      <c r="I8" s="146"/>
      <c r="J8" s="146"/>
      <c r="K8" s="146"/>
      <c r="L8" s="146"/>
      <c r="M8" s="146"/>
      <c r="N8" s="147"/>
    </row>
    <row r="9" spans="1:14">
      <c r="A9" s="151" t="s">
        <v>5</v>
      </c>
      <c r="B9" s="151"/>
      <c r="C9" s="151"/>
      <c r="D9" s="145" t="s">
        <v>178</v>
      </c>
      <c r="E9" s="146"/>
      <c r="F9" s="146"/>
      <c r="G9" s="146"/>
      <c r="H9" s="146"/>
      <c r="I9" s="146"/>
      <c r="J9" s="146"/>
      <c r="K9" s="146"/>
      <c r="L9" s="146"/>
      <c r="M9" s="146"/>
      <c r="N9" s="147"/>
    </row>
    <row r="10" spans="1:14" ht="15.75" thickBot="1">
      <c r="A10" s="156" t="s">
        <v>6</v>
      </c>
      <c r="B10" s="156"/>
      <c r="C10" s="156"/>
      <c r="D10" s="161" t="s">
        <v>179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3"/>
    </row>
    <row r="11" spans="1:14">
      <c r="A11" s="2" t="s">
        <v>7</v>
      </c>
      <c r="B11" s="3" t="s">
        <v>8</v>
      </c>
      <c r="C11" s="4" t="s">
        <v>9</v>
      </c>
      <c r="D11" s="5" t="s">
        <v>10</v>
      </c>
      <c r="E11" s="5" t="s">
        <v>11</v>
      </c>
      <c r="F11" s="5" t="s">
        <v>12</v>
      </c>
      <c r="G11" s="6" t="s">
        <v>13</v>
      </c>
      <c r="H11" s="6" t="s">
        <v>14</v>
      </c>
      <c r="I11" s="7" t="s">
        <v>15</v>
      </c>
      <c r="J11" s="6" t="s">
        <v>77</v>
      </c>
      <c r="K11" s="6" t="s">
        <v>16</v>
      </c>
      <c r="L11" s="5" t="s">
        <v>17</v>
      </c>
      <c r="M11" s="5" t="s">
        <v>18</v>
      </c>
      <c r="N11" s="8" t="s">
        <v>19</v>
      </c>
    </row>
    <row r="12" spans="1:14">
      <c r="A12" s="9" t="s">
        <v>20</v>
      </c>
      <c r="B12" s="10" t="s">
        <v>21</v>
      </c>
      <c r="C12" s="11" t="s">
        <v>22</v>
      </c>
      <c r="D12" s="11" t="s">
        <v>23</v>
      </c>
      <c r="E12" s="12" t="s">
        <v>24</v>
      </c>
      <c r="F12" s="12" t="s">
        <v>25</v>
      </c>
      <c r="G12" s="12" t="s">
        <v>26</v>
      </c>
      <c r="H12" s="12" t="s">
        <v>27</v>
      </c>
      <c r="I12" s="7" t="s">
        <v>28</v>
      </c>
      <c r="J12" s="13" t="s">
        <v>29</v>
      </c>
      <c r="K12" s="13" t="s">
        <v>30</v>
      </c>
      <c r="L12" s="12" t="s">
        <v>30</v>
      </c>
      <c r="M12" s="12" t="s">
        <v>31</v>
      </c>
      <c r="N12" s="14" t="s">
        <v>32</v>
      </c>
    </row>
    <row r="13" spans="1:14">
      <c r="A13" s="9"/>
      <c r="B13" s="10"/>
      <c r="C13" s="11" t="s">
        <v>33</v>
      </c>
      <c r="D13" s="11" t="s">
        <v>34</v>
      </c>
      <c r="E13" s="12"/>
      <c r="F13" s="12" t="s">
        <v>35</v>
      </c>
      <c r="G13" s="13" t="s">
        <v>35</v>
      </c>
      <c r="H13" s="13" t="s">
        <v>35</v>
      </c>
      <c r="I13" s="20"/>
      <c r="J13" s="13"/>
      <c r="K13" s="13" t="s">
        <v>36</v>
      </c>
      <c r="L13" s="13" t="s">
        <v>36</v>
      </c>
      <c r="M13" s="13" t="s">
        <v>37</v>
      </c>
      <c r="N13" s="14" t="s">
        <v>24</v>
      </c>
    </row>
    <row r="14" spans="1:14" ht="36">
      <c r="A14" s="126">
        <v>1</v>
      </c>
      <c r="B14" s="73" t="s">
        <v>180</v>
      </c>
      <c r="C14" s="73" t="s">
        <v>181</v>
      </c>
      <c r="D14" s="94">
        <v>2033</v>
      </c>
      <c r="E14" s="73" t="s">
        <v>182</v>
      </c>
      <c r="F14" s="128">
        <v>407611.99</v>
      </c>
      <c r="G14" s="125">
        <v>0</v>
      </c>
      <c r="H14" s="125">
        <v>257424.29</v>
      </c>
      <c r="I14" s="125">
        <v>274845.95</v>
      </c>
      <c r="J14" s="125">
        <v>21173.43</v>
      </c>
      <c r="K14" s="73">
        <v>44915</v>
      </c>
      <c r="L14" s="127">
        <v>46741</v>
      </c>
      <c r="M14" s="65" t="s">
        <v>84</v>
      </c>
      <c r="N14" s="65" t="s">
        <v>103</v>
      </c>
    </row>
    <row r="15" spans="1:14" ht="18">
      <c r="A15" s="126">
        <v>2</v>
      </c>
      <c r="B15" s="73" t="s">
        <v>183</v>
      </c>
      <c r="C15" s="73" t="s">
        <v>184</v>
      </c>
      <c r="D15" s="94">
        <v>2079</v>
      </c>
      <c r="E15" s="73" t="s">
        <v>91</v>
      </c>
      <c r="F15" s="128">
        <v>504330.25</v>
      </c>
      <c r="G15" s="125">
        <v>0</v>
      </c>
      <c r="H15" s="125">
        <v>340193.52</v>
      </c>
      <c r="I15" s="125">
        <v>383184.15</v>
      </c>
      <c r="J15" s="125">
        <v>32897.550000000003</v>
      </c>
      <c r="K15" s="73">
        <v>45015</v>
      </c>
      <c r="L15" s="127">
        <v>46476</v>
      </c>
      <c r="M15" s="65" t="s">
        <v>84</v>
      </c>
      <c r="N15" s="65" t="s">
        <v>92</v>
      </c>
    </row>
    <row r="16" spans="1:14" ht="18">
      <c r="A16" s="58">
        <v>3</v>
      </c>
      <c r="B16" s="73" t="s">
        <v>185</v>
      </c>
      <c r="C16" s="73" t="s">
        <v>186</v>
      </c>
      <c r="D16" s="94">
        <v>2118</v>
      </c>
      <c r="E16" s="73" t="s">
        <v>187</v>
      </c>
      <c r="F16" s="128">
        <v>378170</v>
      </c>
      <c r="G16" s="125">
        <v>0</v>
      </c>
      <c r="H16" s="125">
        <v>249285.13</v>
      </c>
      <c r="I16" s="125">
        <v>274915.05</v>
      </c>
      <c r="J16" s="125">
        <v>23261.03</v>
      </c>
      <c r="K16" s="73">
        <v>45113</v>
      </c>
      <c r="L16" s="127" t="s">
        <v>188</v>
      </c>
      <c r="M16" s="65" t="s">
        <v>84</v>
      </c>
      <c r="N16" s="65" t="s">
        <v>189</v>
      </c>
    </row>
    <row r="17" spans="1:14" ht="36">
      <c r="A17" s="58">
        <v>4</v>
      </c>
      <c r="B17" s="73" t="s">
        <v>190</v>
      </c>
      <c r="C17" s="60" t="s">
        <v>191</v>
      </c>
      <c r="D17" s="94">
        <v>2194</v>
      </c>
      <c r="E17" s="73" t="s">
        <v>182</v>
      </c>
      <c r="F17" s="128">
        <v>768640</v>
      </c>
      <c r="G17" s="125">
        <v>0</v>
      </c>
      <c r="H17" s="125">
        <v>115037.24</v>
      </c>
      <c r="I17" s="125">
        <v>132311.39000000001</v>
      </c>
      <c r="J17" s="125">
        <v>10623.66</v>
      </c>
      <c r="K17" s="73">
        <v>45271</v>
      </c>
      <c r="L17" s="127">
        <v>47098</v>
      </c>
      <c r="M17" s="65" t="s">
        <v>84</v>
      </c>
      <c r="N17" s="65" t="s">
        <v>103</v>
      </c>
    </row>
    <row r="18" spans="1:14" ht="18">
      <c r="A18" s="58">
        <v>5</v>
      </c>
      <c r="B18" s="83" t="s">
        <v>207</v>
      </c>
      <c r="C18" s="60" t="s">
        <v>197</v>
      </c>
      <c r="D18" s="94">
        <v>2392</v>
      </c>
      <c r="E18" s="83" t="s">
        <v>206</v>
      </c>
      <c r="F18" s="128">
        <v>556200</v>
      </c>
      <c r="G18" s="125" t="s">
        <v>96</v>
      </c>
      <c r="H18" s="125">
        <v>6.3</v>
      </c>
      <c r="I18" s="125">
        <v>150</v>
      </c>
      <c r="J18" s="96" t="s">
        <v>96</v>
      </c>
      <c r="K18" s="73">
        <v>45604</v>
      </c>
      <c r="L18" s="127">
        <v>46699</v>
      </c>
      <c r="M18" s="65" t="s">
        <v>84</v>
      </c>
      <c r="N18" s="65" t="s">
        <v>208</v>
      </c>
    </row>
    <row r="19" spans="1:14" ht="25.5" customHeight="1">
      <c r="A19" s="58">
        <v>6</v>
      </c>
      <c r="B19" s="73" t="s">
        <v>192</v>
      </c>
      <c r="C19" s="60" t="s">
        <v>193</v>
      </c>
      <c r="D19" s="94">
        <v>2208</v>
      </c>
      <c r="E19" s="73" t="s">
        <v>194</v>
      </c>
      <c r="F19" s="128">
        <v>1153655.94</v>
      </c>
      <c r="G19" s="125">
        <f>1000+ 673529.94+ 479126</f>
        <v>1153655.94</v>
      </c>
      <c r="H19" s="125">
        <v>919099.14</v>
      </c>
      <c r="I19" s="125">
        <v>1148632</v>
      </c>
      <c r="J19" s="125">
        <v>55244.04</v>
      </c>
      <c r="K19" s="73">
        <v>45289</v>
      </c>
      <c r="L19" s="127">
        <v>45837</v>
      </c>
      <c r="M19" s="65" t="s">
        <v>97</v>
      </c>
      <c r="N19" s="65" t="s">
        <v>195</v>
      </c>
    </row>
    <row r="20" spans="1:14" ht="45">
      <c r="A20" s="58">
        <v>7</v>
      </c>
      <c r="B20" s="83" t="s">
        <v>210</v>
      </c>
      <c r="C20" s="60" t="s">
        <v>198</v>
      </c>
      <c r="D20" s="94">
        <v>2241</v>
      </c>
      <c r="E20" s="83" t="s">
        <v>211</v>
      </c>
      <c r="F20" s="128">
        <v>200000</v>
      </c>
      <c r="G20" s="129" t="s">
        <v>96</v>
      </c>
      <c r="H20" s="125">
        <v>196097.65</v>
      </c>
      <c r="I20" s="125">
        <v>200234.59</v>
      </c>
      <c r="J20" s="125">
        <v>10000</v>
      </c>
      <c r="K20" s="65">
        <v>45365</v>
      </c>
      <c r="L20" s="65">
        <v>45716</v>
      </c>
      <c r="M20" s="65" t="s">
        <v>212</v>
      </c>
      <c r="N20" s="83" t="s">
        <v>209</v>
      </c>
    </row>
    <row r="21" spans="1:14" ht="90">
      <c r="A21" s="58">
        <v>8</v>
      </c>
      <c r="B21" s="83" t="s">
        <v>213</v>
      </c>
      <c r="C21" s="60" t="s">
        <v>199</v>
      </c>
      <c r="D21" s="59">
        <v>2419</v>
      </c>
      <c r="E21" s="83" t="s">
        <v>214</v>
      </c>
      <c r="F21" s="61">
        <v>150000</v>
      </c>
      <c r="G21" s="129">
        <v>0</v>
      </c>
      <c r="H21" s="129">
        <v>0</v>
      </c>
      <c r="I21" s="129">
        <v>0</v>
      </c>
      <c r="J21" s="129">
        <v>0</v>
      </c>
      <c r="K21" s="65">
        <v>45656</v>
      </c>
      <c r="L21" s="65">
        <v>46568</v>
      </c>
      <c r="M21" s="106" t="s">
        <v>218</v>
      </c>
      <c r="N21" s="83" t="s">
        <v>215</v>
      </c>
    </row>
    <row r="22" spans="1:14" ht="15.75" thickBot="1">
      <c r="A22" s="87"/>
      <c r="B22" s="88"/>
      <c r="C22" s="89"/>
      <c r="D22" s="88"/>
      <c r="E22" s="89"/>
      <c r="F22" s="90"/>
      <c r="G22" s="91"/>
      <c r="H22" s="91"/>
      <c r="I22" s="91"/>
      <c r="J22" s="91"/>
      <c r="K22" s="92"/>
      <c r="L22" s="92"/>
      <c r="M22" s="81"/>
      <c r="N22" s="81"/>
    </row>
    <row r="23" spans="1:14" ht="15.75" thickBot="1">
      <c r="A23" s="157" t="s">
        <v>216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</row>
    <row r="24" spans="1:14" ht="15.75" thickBot="1">
      <c r="A24" s="152" t="s">
        <v>217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</row>
    <row r="25" spans="1:14">
      <c r="A25" s="152" t="s">
        <v>82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</row>
    <row r="26" spans="1:14">
      <c r="A26" s="153" t="s">
        <v>83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</row>
    <row r="27" spans="1:14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4"/>
      <c r="L27" s="24"/>
      <c r="M27" s="24"/>
      <c r="N27" s="25"/>
    </row>
    <row r="28" spans="1:14">
      <c r="A28" s="22" t="s">
        <v>39</v>
      </c>
      <c r="B28" s="26"/>
      <c r="C28" s="27"/>
      <c r="D28" s="27"/>
      <c r="E28" s="23"/>
      <c r="F28" s="23"/>
      <c r="G28" s="23"/>
      <c r="H28" s="23"/>
      <c r="I28" s="23"/>
      <c r="J28" s="23"/>
      <c r="K28" s="27"/>
      <c r="L28" s="27"/>
      <c r="M28" s="27"/>
      <c r="N28" s="28"/>
    </row>
    <row r="29" spans="1:14">
      <c r="A29" s="22"/>
      <c r="B29" s="154" t="s">
        <v>40</v>
      </c>
      <c r="C29" s="154"/>
      <c r="D29" s="154"/>
      <c r="E29" s="23"/>
      <c r="F29" s="23"/>
      <c r="G29" s="23"/>
      <c r="H29" s="23"/>
      <c r="I29" s="23"/>
      <c r="J29" s="23"/>
      <c r="K29" s="155" t="s">
        <v>41</v>
      </c>
      <c r="L29" s="155"/>
      <c r="M29" s="155"/>
      <c r="N29" s="155"/>
    </row>
    <row r="30" spans="1:14">
      <c r="A30" s="22"/>
      <c r="B30" s="29" t="s">
        <v>155</v>
      </c>
      <c r="C30" s="30"/>
      <c r="D30" s="30"/>
      <c r="E30" s="23"/>
      <c r="F30" s="23"/>
      <c r="G30" s="23"/>
      <c r="H30" s="23"/>
      <c r="I30" s="23"/>
      <c r="J30" s="23"/>
      <c r="K30" s="31" t="s">
        <v>138</v>
      </c>
      <c r="L30" s="30"/>
      <c r="M30" s="30"/>
      <c r="N30" s="32"/>
    </row>
    <row r="31" spans="1:14">
      <c r="A31" s="22"/>
      <c r="B31" s="189" t="s">
        <v>156</v>
      </c>
      <c r="C31" s="189"/>
      <c r="D31" s="30" t="s">
        <v>196</v>
      </c>
      <c r="E31" s="23"/>
      <c r="F31" s="23"/>
      <c r="G31" s="23"/>
      <c r="H31" s="23"/>
      <c r="I31" s="23"/>
      <c r="J31" s="23"/>
      <c r="K31" s="31" t="s">
        <v>139</v>
      </c>
      <c r="L31" s="30"/>
      <c r="M31" s="30"/>
      <c r="N31" s="32"/>
    </row>
    <row r="32" spans="1:14" ht="15.75" thickBot="1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</row>
    <row r="33" spans="1:14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1:14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4">
      <c r="A35" s="36" t="s">
        <v>45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</sheetData>
  <mergeCells count="19">
    <mergeCell ref="B31:C31"/>
    <mergeCell ref="A23:N23"/>
    <mergeCell ref="A24:N24"/>
    <mergeCell ref="A25:N25"/>
    <mergeCell ref="A26:N26"/>
    <mergeCell ref="B29:D29"/>
    <mergeCell ref="K29:N29"/>
    <mergeCell ref="A8:C8"/>
    <mergeCell ref="D8:N8"/>
    <mergeCell ref="A9:C9"/>
    <mergeCell ref="D9:N9"/>
    <mergeCell ref="A10:C10"/>
    <mergeCell ref="D10:N10"/>
    <mergeCell ref="A2:N2"/>
    <mergeCell ref="A4:N5"/>
    <mergeCell ref="A6:C6"/>
    <mergeCell ref="D6:N6"/>
    <mergeCell ref="A7:C7"/>
    <mergeCell ref="D7:N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5"/>
  <sheetViews>
    <sheetView tabSelected="1" topLeftCell="A19" workbookViewId="0">
      <selection activeCell="G38" sqref="G38"/>
    </sheetView>
  </sheetViews>
  <sheetFormatPr defaultRowHeight="15"/>
  <cols>
    <col min="2" max="2" width="18.5703125" customWidth="1"/>
    <col min="3" max="3" width="15.42578125" customWidth="1"/>
    <col min="4" max="4" width="19.7109375" customWidth="1"/>
    <col min="5" max="5" width="37.85546875" customWidth="1"/>
    <col min="6" max="6" width="21.5703125" customWidth="1"/>
    <col min="7" max="7" width="16.140625" customWidth="1"/>
    <col min="8" max="8" width="17.5703125" customWidth="1"/>
    <col min="11" max="11" width="11.7109375" bestFit="1" customWidth="1"/>
  </cols>
  <sheetData>
    <row r="1" spans="1:11" ht="22.5">
      <c r="A1" s="165" t="s">
        <v>0</v>
      </c>
      <c r="B1" s="165"/>
      <c r="C1" s="165"/>
      <c r="D1" s="165"/>
      <c r="E1" s="165"/>
      <c r="F1" s="165"/>
      <c r="G1" s="165"/>
      <c r="H1" s="165"/>
    </row>
    <row r="2" spans="1:11" ht="15.75" thickBot="1">
      <c r="A2" s="166" t="s">
        <v>46</v>
      </c>
      <c r="B2" s="166"/>
      <c r="C2" s="166"/>
      <c r="D2" s="166"/>
      <c r="E2" s="166"/>
      <c r="F2" s="166"/>
      <c r="G2" s="166"/>
      <c r="H2" s="166"/>
    </row>
    <row r="3" spans="1:11" ht="15.75" thickBot="1">
      <c r="A3" s="167" t="s">
        <v>78</v>
      </c>
      <c r="B3" s="167"/>
      <c r="C3" s="167"/>
      <c r="D3" s="167"/>
      <c r="E3" s="167"/>
      <c r="F3" s="167"/>
      <c r="G3" s="167"/>
      <c r="H3" s="167"/>
    </row>
    <row r="4" spans="1:11">
      <c r="A4" s="167"/>
      <c r="B4" s="167"/>
      <c r="C4" s="167"/>
      <c r="D4" s="167"/>
      <c r="E4" s="167"/>
      <c r="F4" s="167"/>
      <c r="G4" s="167"/>
      <c r="H4" s="167"/>
    </row>
    <row r="5" spans="1:11">
      <c r="A5" s="164" t="s">
        <v>1</v>
      </c>
      <c r="B5" s="164"/>
      <c r="C5" s="164"/>
      <c r="D5" s="195" t="s">
        <v>219</v>
      </c>
      <c r="E5" s="195"/>
      <c r="F5" s="195"/>
      <c r="G5" s="195"/>
      <c r="H5" s="195"/>
    </row>
    <row r="6" spans="1:11">
      <c r="A6" s="164" t="s">
        <v>2</v>
      </c>
      <c r="B6" s="164"/>
      <c r="C6" s="164"/>
      <c r="D6" s="198" t="s">
        <v>3</v>
      </c>
      <c r="E6" s="198"/>
      <c r="F6" s="198"/>
      <c r="G6" s="198"/>
      <c r="H6" s="198"/>
    </row>
    <row r="7" spans="1:11">
      <c r="A7" s="164" t="s">
        <v>4</v>
      </c>
      <c r="B7" s="164"/>
      <c r="C7" s="164"/>
      <c r="D7" s="195" t="s">
        <v>177</v>
      </c>
      <c r="E7" s="196"/>
      <c r="F7" s="196"/>
      <c r="G7" s="196"/>
      <c r="H7" s="197"/>
    </row>
    <row r="8" spans="1:11">
      <c r="A8" s="164" t="s">
        <v>5</v>
      </c>
      <c r="B8" s="164"/>
      <c r="C8" s="164"/>
      <c r="D8" s="198" t="s">
        <v>178</v>
      </c>
      <c r="E8" s="198"/>
      <c r="F8" s="198"/>
      <c r="G8" s="198"/>
      <c r="H8" s="198"/>
    </row>
    <row r="9" spans="1:11" ht="15.75" thickBot="1">
      <c r="A9" s="171" t="s">
        <v>6</v>
      </c>
      <c r="B9" s="171"/>
      <c r="C9" s="171"/>
      <c r="D9" s="199" t="s">
        <v>179</v>
      </c>
      <c r="E9" s="199"/>
      <c r="F9" s="199"/>
      <c r="G9" s="199"/>
      <c r="H9" s="199"/>
    </row>
    <row r="10" spans="1:11" ht="15.75" thickBot="1">
      <c r="E10" s="188" t="s">
        <v>47</v>
      </c>
      <c r="F10" s="188"/>
      <c r="G10" s="188"/>
      <c r="H10" s="188"/>
    </row>
    <row r="11" spans="1:11">
      <c r="A11" s="37" t="s">
        <v>7</v>
      </c>
      <c r="B11" s="37" t="s">
        <v>48</v>
      </c>
      <c r="C11" s="37" t="s">
        <v>49</v>
      </c>
      <c r="D11" s="5" t="s">
        <v>10</v>
      </c>
      <c r="E11" s="38" t="s">
        <v>51</v>
      </c>
      <c r="F11" s="37" t="s">
        <v>52</v>
      </c>
      <c r="G11" s="37" t="s">
        <v>53</v>
      </c>
      <c r="H11" s="37" t="s">
        <v>54</v>
      </c>
    </row>
    <row r="12" spans="1:11">
      <c r="A12" s="39" t="s">
        <v>55</v>
      </c>
      <c r="B12" s="39" t="s">
        <v>21</v>
      </c>
      <c r="C12" s="39" t="s">
        <v>33</v>
      </c>
      <c r="D12" s="11" t="s">
        <v>23</v>
      </c>
      <c r="E12" s="40" t="s">
        <v>57</v>
      </c>
      <c r="F12" s="39" t="s">
        <v>58</v>
      </c>
      <c r="G12" s="39" t="s">
        <v>59</v>
      </c>
      <c r="H12" s="39" t="s">
        <v>60</v>
      </c>
    </row>
    <row r="13" spans="1:11">
      <c r="A13" s="39"/>
      <c r="B13" s="39"/>
      <c r="C13" s="39"/>
      <c r="D13" s="11" t="s">
        <v>34</v>
      </c>
      <c r="E13" s="40"/>
      <c r="F13" s="39" t="s">
        <v>61</v>
      </c>
      <c r="G13" s="39" t="s">
        <v>62</v>
      </c>
      <c r="H13" s="39" t="s">
        <v>63</v>
      </c>
    </row>
    <row r="14" spans="1:11">
      <c r="A14" s="39"/>
      <c r="B14" s="39"/>
      <c r="C14" s="39"/>
      <c r="D14" s="39"/>
      <c r="E14" s="40"/>
      <c r="F14" s="39" t="s">
        <v>129</v>
      </c>
      <c r="G14" s="39" t="s">
        <v>64</v>
      </c>
      <c r="H14" s="39" t="s">
        <v>60</v>
      </c>
    </row>
    <row r="15" spans="1:11">
      <c r="A15" s="39"/>
      <c r="B15" s="39"/>
      <c r="C15" s="39"/>
      <c r="D15" s="39"/>
      <c r="E15" s="104"/>
      <c r="F15" s="39"/>
      <c r="G15" s="39" t="s">
        <v>129</v>
      </c>
      <c r="H15" s="39" t="s">
        <v>65</v>
      </c>
      <c r="K15" s="114"/>
    </row>
    <row r="16" spans="1:11">
      <c r="A16" s="75">
        <v>1</v>
      </c>
      <c r="B16" s="138" t="s">
        <v>180</v>
      </c>
      <c r="C16" s="138" t="s">
        <v>181</v>
      </c>
      <c r="D16" s="239">
        <v>2033</v>
      </c>
      <c r="E16" s="135" t="s">
        <v>220</v>
      </c>
      <c r="F16" s="135" t="s">
        <v>168</v>
      </c>
      <c r="G16" s="240">
        <f>524.24+676.41+653.4+279.35+2096.65+2376+2376+1851.76+2376+2376+1699.59+1722.6+(2376*5)</f>
        <v>30887.999999999996</v>
      </c>
      <c r="H16" s="135" t="s">
        <v>130</v>
      </c>
    </row>
    <row r="17" spans="1:8">
      <c r="A17" s="75">
        <v>2</v>
      </c>
      <c r="B17" s="138" t="s">
        <v>180</v>
      </c>
      <c r="C17" s="138" t="s">
        <v>181</v>
      </c>
      <c r="D17" s="239">
        <v>2033</v>
      </c>
      <c r="E17" s="135" t="s">
        <v>221</v>
      </c>
      <c r="F17" s="135" t="s">
        <v>168</v>
      </c>
      <c r="G17" s="240">
        <f>(880*13)</f>
        <v>11440</v>
      </c>
      <c r="H17" s="135" t="s">
        <v>130</v>
      </c>
    </row>
    <row r="18" spans="1:8">
      <c r="A18" s="75">
        <v>3</v>
      </c>
      <c r="B18" s="138" t="s">
        <v>180</v>
      </c>
      <c r="C18" s="138" t="s">
        <v>181</v>
      </c>
      <c r="D18" s="239">
        <v>2033</v>
      </c>
      <c r="E18" s="135" t="s">
        <v>200</v>
      </c>
      <c r="F18" s="135" t="s">
        <v>168</v>
      </c>
      <c r="G18" s="240">
        <f>(880*13)</f>
        <v>11440</v>
      </c>
      <c r="H18" s="135" t="s">
        <v>130</v>
      </c>
    </row>
    <row r="19" spans="1:8">
      <c r="A19" s="75">
        <v>4</v>
      </c>
      <c r="B19" s="138" t="s">
        <v>180</v>
      </c>
      <c r="C19" s="138" t="s">
        <v>181</v>
      </c>
      <c r="D19" s="239">
        <v>2033</v>
      </c>
      <c r="E19" s="135" t="s">
        <v>222</v>
      </c>
      <c r="F19" s="135" t="s">
        <v>168</v>
      </c>
      <c r="G19" s="240">
        <f>(600*13)</f>
        <v>7800</v>
      </c>
      <c r="H19" s="135" t="s">
        <v>130</v>
      </c>
    </row>
    <row r="20" spans="1:8">
      <c r="A20" s="75">
        <v>5</v>
      </c>
      <c r="B20" s="138" t="s">
        <v>180</v>
      </c>
      <c r="C20" s="138" t="s">
        <v>181</v>
      </c>
      <c r="D20" s="239">
        <v>2033</v>
      </c>
      <c r="E20" s="135" t="s">
        <v>205</v>
      </c>
      <c r="F20" s="135" t="s">
        <v>168</v>
      </c>
      <c r="G20" s="240">
        <f>23.1+1524.9+(12*1584)</f>
        <v>20556</v>
      </c>
      <c r="H20" s="135" t="s">
        <v>130</v>
      </c>
    </row>
    <row r="21" spans="1:8">
      <c r="A21" s="75">
        <v>6</v>
      </c>
      <c r="B21" s="138" t="s">
        <v>183</v>
      </c>
      <c r="C21" s="138" t="s">
        <v>184</v>
      </c>
      <c r="D21" s="239">
        <v>2079</v>
      </c>
      <c r="E21" s="135" t="s">
        <v>247</v>
      </c>
      <c r="F21" s="240" t="s">
        <v>223</v>
      </c>
      <c r="G21" s="240">
        <f>28.2+3171.8</f>
        <v>3200</v>
      </c>
      <c r="H21" s="135" t="s">
        <v>130</v>
      </c>
    </row>
    <row r="22" spans="1:8">
      <c r="A22" s="75">
        <v>7</v>
      </c>
      <c r="B22" s="138" t="s">
        <v>183</v>
      </c>
      <c r="C22" s="138" t="s">
        <v>184</v>
      </c>
      <c r="D22" s="239">
        <v>2079</v>
      </c>
      <c r="E22" s="135" t="s">
        <v>224</v>
      </c>
      <c r="F22" s="135" t="s">
        <v>204</v>
      </c>
      <c r="G22" s="240">
        <f>380.15+2600+2600+2600+2219.85+(2600*8)</f>
        <v>31200</v>
      </c>
      <c r="H22" s="135" t="s">
        <v>130</v>
      </c>
    </row>
    <row r="23" spans="1:8">
      <c r="A23" s="75">
        <v>8</v>
      </c>
      <c r="B23" s="138" t="s">
        <v>183</v>
      </c>
      <c r="C23" s="138" t="s">
        <v>184</v>
      </c>
      <c r="D23" s="239">
        <v>2079</v>
      </c>
      <c r="E23" s="135" t="s">
        <v>225</v>
      </c>
      <c r="F23" s="135" t="s">
        <v>168</v>
      </c>
      <c r="G23" s="240">
        <f>(2100*11)+163.84+1936.16</f>
        <v>25200</v>
      </c>
      <c r="H23" s="135" t="s">
        <v>130</v>
      </c>
    </row>
    <row r="24" spans="1:8">
      <c r="A24" s="75">
        <v>9</v>
      </c>
      <c r="B24" s="138" t="s">
        <v>183</v>
      </c>
      <c r="C24" s="138" t="s">
        <v>184</v>
      </c>
      <c r="D24" s="239">
        <v>2079</v>
      </c>
      <c r="E24" s="135" t="s">
        <v>226</v>
      </c>
      <c r="F24" s="135" t="s">
        <v>168</v>
      </c>
      <c r="G24" s="240">
        <f>163.84+1936.16+(2100*11)</f>
        <v>25200</v>
      </c>
      <c r="H24" s="135" t="s">
        <v>130</v>
      </c>
    </row>
    <row r="25" spans="1:8">
      <c r="A25" s="75">
        <v>9</v>
      </c>
      <c r="B25" s="138" t="s">
        <v>183</v>
      </c>
      <c r="C25" s="138" t="s">
        <v>184</v>
      </c>
      <c r="D25" s="239">
        <v>2079</v>
      </c>
      <c r="E25" s="135" t="s">
        <v>205</v>
      </c>
      <c r="F25" s="241" t="s">
        <v>223</v>
      </c>
      <c r="G25" s="240">
        <f>619.08+2380.92</f>
        <v>3000</v>
      </c>
      <c r="H25" s="135" t="s">
        <v>130</v>
      </c>
    </row>
    <row r="26" spans="1:8">
      <c r="A26" s="75">
        <v>10</v>
      </c>
      <c r="B26" s="138" t="s">
        <v>183</v>
      </c>
      <c r="C26" s="138" t="s">
        <v>184</v>
      </c>
      <c r="D26" s="239">
        <v>2079</v>
      </c>
      <c r="E26" s="135" t="s">
        <v>227</v>
      </c>
      <c r="F26" s="135" t="s">
        <v>168</v>
      </c>
      <c r="G26" s="240">
        <f>163.84+1936.16+(2100*11)</f>
        <v>25200</v>
      </c>
      <c r="H26" s="135" t="s">
        <v>130</v>
      </c>
    </row>
    <row r="27" spans="1:8">
      <c r="A27" s="75">
        <v>11</v>
      </c>
      <c r="B27" s="138" t="s">
        <v>183</v>
      </c>
      <c r="C27" s="138" t="s">
        <v>184</v>
      </c>
      <c r="D27" s="239">
        <v>2079</v>
      </c>
      <c r="E27" s="135" t="s">
        <v>228</v>
      </c>
      <c r="F27" s="135" t="s">
        <v>168</v>
      </c>
      <c r="G27" s="240">
        <f>163.84+1936.16+(2100*11)</f>
        <v>25200</v>
      </c>
      <c r="H27" s="135" t="s">
        <v>130</v>
      </c>
    </row>
    <row r="28" spans="1:8">
      <c r="A28" s="75">
        <v>12</v>
      </c>
      <c r="B28" s="138" t="s">
        <v>183</v>
      </c>
      <c r="C28" s="138" t="s">
        <v>184</v>
      </c>
      <c r="D28" s="239">
        <v>2079</v>
      </c>
      <c r="E28" s="135" t="s">
        <v>229</v>
      </c>
      <c r="F28" s="135" t="s">
        <v>168</v>
      </c>
      <c r="G28" s="240">
        <f>24.45+1050+2075.55+(2100*10)</f>
        <v>24150</v>
      </c>
      <c r="H28" s="135" t="s">
        <v>130</v>
      </c>
    </row>
    <row r="29" spans="1:8">
      <c r="A29" s="75">
        <v>13</v>
      </c>
      <c r="B29" s="138" t="s">
        <v>185</v>
      </c>
      <c r="C29" s="138" t="s">
        <v>186</v>
      </c>
      <c r="D29" s="239">
        <v>2118</v>
      </c>
      <c r="E29" s="135" t="s">
        <v>230</v>
      </c>
      <c r="F29" s="135" t="s">
        <v>223</v>
      </c>
      <c r="G29" s="240">
        <f>320+960+1120+(480*4)</f>
        <v>4320</v>
      </c>
      <c r="H29" s="135" t="s">
        <v>231</v>
      </c>
    </row>
    <row r="30" spans="1:8">
      <c r="A30" s="75">
        <v>18</v>
      </c>
      <c r="B30" s="138" t="s">
        <v>185</v>
      </c>
      <c r="C30" s="138" t="s">
        <v>186</v>
      </c>
      <c r="D30" s="239">
        <v>2118</v>
      </c>
      <c r="E30" s="135" t="s">
        <v>232</v>
      </c>
      <c r="F30" s="135" t="s">
        <v>223</v>
      </c>
      <c r="G30" s="240">
        <f>1560+320+320+240+400+400+400+400</f>
        <v>4040</v>
      </c>
      <c r="H30" s="135" t="s">
        <v>231</v>
      </c>
    </row>
    <row r="31" spans="1:8">
      <c r="A31" s="75">
        <v>19</v>
      </c>
      <c r="B31" s="138" t="s">
        <v>185</v>
      </c>
      <c r="C31" s="138" t="s">
        <v>186</v>
      </c>
      <c r="D31" s="239">
        <v>2118</v>
      </c>
      <c r="E31" s="135" t="s">
        <v>233</v>
      </c>
      <c r="F31" s="135" t="s">
        <v>168</v>
      </c>
      <c r="G31" s="240">
        <f>2518+2350+2350+2350+2758+2350+2350+2350+2350+2350+2350+2350</f>
        <v>28776</v>
      </c>
      <c r="H31" s="135" t="s">
        <v>231</v>
      </c>
    </row>
    <row r="32" spans="1:8">
      <c r="A32" s="75">
        <v>20</v>
      </c>
      <c r="B32" s="138" t="s">
        <v>185</v>
      </c>
      <c r="C32" s="138" t="s">
        <v>186</v>
      </c>
      <c r="D32" s="239">
        <v>2118</v>
      </c>
      <c r="E32" s="135" t="s">
        <v>234</v>
      </c>
      <c r="F32" s="135" t="s">
        <v>96</v>
      </c>
      <c r="G32" s="240">
        <f>640+320+480+480+480</f>
        <v>2400</v>
      </c>
      <c r="H32" s="135" t="s">
        <v>231</v>
      </c>
    </row>
    <row r="33" spans="1:10">
      <c r="A33" s="75">
        <v>20</v>
      </c>
      <c r="B33" s="138" t="s">
        <v>185</v>
      </c>
      <c r="C33" s="138" t="s">
        <v>186</v>
      </c>
      <c r="D33" s="239">
        <v>2118</v>
      </c>
      <c r="E33" s="135" t="s">
        <v>245</v>
      </c>
      <c r="F33" s="135" t="s">
        <v>96</v>
      </c>
      <c r="G33" s="240">
        <v>1095.5999999999999</v>
      </c>
      <c r="H33" s="135" t="s">
        <v>231</v>
      </c>
    </row>
    <row r="34" spans="1:10">
      <c r="A34" s="75">
        <v>20</v>
      </c>
      <c r="B34" s="138" t="s">
        <v>185</v>
      </c>
      <c r="C34" s="138" t="s">
        <v>186</v>
      </c>
      <c r="D34" s="239">
        <v>2118</v>
      </c>
      <c r="E34" s="135" t="s">
        <v>246</v>
      </c>
      <c r="F34" s="135" t="s">
        <v>223</v>
      </c>
      <c r="G34" s="240">
        <v>480</v>
      </c>
      <c r="H34" s="135" t="s">
        <v>231</v>
      </c>
    </row>
    <row r="35" spans="1:10">
      <c r="A35" s="75">
        <v>21</v>
      </c>
      <c r="B35" s="138" t="s">
        <v>185</v>
      </c>
      <c r="C35" s="138" t="s">
        <v>186</v>
      </c>
      <c r="D35" s="239">
        <v>2118</v>
      </c>
      <c r="E35" s="135" t="s">
        <v>235</v>
      </c>
      <c r="F35" s="135" t="s">
        <v>223</v>
      </c>
      <c r="G35" s="240">
        <f>280+640+320+320+320+320</f>
        <v>2200</v>
      </c>
      <c r="H35" s="135" t="s">
        <v>231</v>
      </c>
    </row>
    <row r="36" spans="1:10">
      <c r="A36" s="75"/>
      <c r="B36" s="138" t="s">
        <v>185</v>
      </c>
      <c r="C36" s="138" t="s">
        <v>186</v>
      </c>
      <c r="D36" s="239">
        <v>2118</v>
      </c>
      <c r="E36" s="135" t="s">
        <v>205</v>
      </c>
      <c r="F36" s="135" t="s">
        <v>223</v>
      </c>
      <c r="G36" s="240">
        <f>310.75+152.74+819.25+977.26</f>
        <v>2260</v>
      </c>
      <c r="H36" s="135" t="s">
        <v>231</v>
      </c>
    </row>
    <row r="37" spans="1:10">
      <c r="A37" s="75">
        <v>22</v>
      </c>
      <c r="B37" s="138" t="s">
        <v>185</v>
      </c>
      <c r="C37" s="138" t="s">
        <v>186</v>
      </c>
      <c r="D37" s="239">
        <v>2118</v>
      </c>
      <c r="E37" s="135" t="s">
        <v>236</v>
      </c>
      <c r="F37" s="135" t="s">
        <v>204</v>
      </c>
      <c r="G37" s="240">
        <f>65.74+52.29+52.24+28.5+35.55+274.4+37.95+20.7+2550+2550+3480.26+296.31+2550+2550+3403.76+3175.5+3262.45+2950+4455.6+3292.05+3079.3</f>
        <v>38162.600000000006</v>
      </c>
      <c r="H37" s="135" t="s">
        <v>231</v>
      </c>
    </row>
    <row r="38" spans="1:10">
      <c r="A38" s="75">
        <v>23</v>
      </c>
      <c r="B38" s="138" t="s">
        <v>185</v>
      </c>
      <c r="C38" s="138" t="s">
        <v>186</v>
      </c>
      <c r="D38" s="239">
        <v>2118</v>
      </c>
      <c r="E38" s="135" t="s">
        <v>237</v>
      </c>
      <c r="F38" s="135" t="s">
        <v>223</v>
      </c>
      <c r="G38" s="240">
        <f>320+400+400+400+400</f>
        <v>1920</v>
      </c>
      <c r="H38" s="135" t="s">
        <v>231</v>
      </c>
    </row>
    <row r="39" spans="1:10">
      <c r="A39" s="75">
        <v>24</v>
      </c>
      <c r="B39" s="138" t="s">
        <v>185</v>
      </c>
      <c r="C39" s="138" t="s">
        <v>186</v>
      </c>
      <c r="D39" s="239">
        <v>2118</v>
      </c>
      <c r="E39" s="135" t="s">
        <v>238</v>
      </c>
      <c r="F39" s="135" t="s">
        <v>223</v>
      </c>
      <c r="G39" s="240">
        <f>920+920+1120+320+640+960+400+400+720+400</f>
        <v>6800</v>
      </c>
      <c r="H39" s="135" t="s">
        <v>231</v>
      </c>
    </row>
    <row r="40" spans="1:10">
      <c r="A40" s="75">
        <v>25</v>
      </c>
      <c r="B40" s="138" t="s">
        <v>185</v>
      </c>
      <c r="C40" s="138" t="s">
        <v>186</v>
      </c>
      <c r="D40" s="239">
        <v>2118</v>
      </c>
      <c r="E40" s="135" t="s">
        <v>239</v>
      </c>
      <c r="F40" s="135" t="s">
        <v>168</v>
      </c>
      <c r="G40" s="240">
        <f>58.47+2554+2350+2350+2350+3439.03+2350+2350+2350+2350+2350+2350+2350</f>
        <v>29551.5</v>
      </c>
      <c r="H40" s="135" t="s">
        <v>231</v>
      </c>
      <c r="J40" s="114"/>
    </row>
    <row r="41" spans="1:10">
      <c r="A41" s="75">
        <v>26</v>
      </c>
      <c r="B41" s="138" t="s">
        <v>185</v>
      </c>
      <c r="C41" s="138" t="s">
        <v>186</v>
      </c>
      <c r="D41" s="239">
        <v>2118</v>
      </c>
      <c r="E41" s="135" t="s">
        <v>240</v>
      </c>
      <c r="F41" s="135" t="s">
        <v>223</v>
      </c>
      <c r="G41" s="240">
        <f>460+460</f>
        <v>920</v>
      </c>
      <c r="H41" s="135" t="s">
        <v>231</v>
      </c>
    </row>
    <row r="42" spans="1:10">
      <c r="A42" s="75"/>
      <c r="B42" s="138" t="s">
        <v>190</v>
      </c>
      <c r="C42" s="60" t="s">
        <v>191</v>
      </c>
      <c r="D42" s="239">
        <v>2194</v>
      </c>
      <c r="E42" s="135" t="s">
        <v>220</v>
      </c>
      <c r="F42" s="135" t="s">
        <v>223</v>
      </c>
      <c r="G42" s="240">
        <f>95.22+1375+279.35+279.35+653.4+629.53+279.35+3647.28+3625+2096.65+2096.65+2096.65+1722.6+1746.47</f>
        <v>20622.5</v>
      </c>
      <c r="H42" s="135" t="s">
        <v>231</v>
      </c>
    </row>
    <row r="43" spans="1:10">
      <c r="A43" s="75"/>
      <c r="B43" s="138" t="s">
        <v>190</v>
      </c>
      <c r="C43" s="60" t="s">
        <v>191</v>
      </c>
      <c r="D43" s="239">
        <v>2194</v>
      </c>
      <c r="E43" s="135" t="s">
        <v>221</v>
      </c>
      <c r="F43" s="135" t="s">
        <v>223</v>
      </c>
      <c r="G43" s="240">
        <f>117.94+1386+2896.06+(880*5)</f>
        <v>8800</v>
      </c>
      <c r="H43" s="135" t="s">
        <v>231</v>
      </c>
    </row>
    <row r="44" spans="1:10">
      <c r="A44" s="75"/>
      <c r="B44" s="138" t="s">
        <v>190</v>
      </c>
      <c r="C44" s="60" t="s">
        <v>191</v>
      </c>
      <c r="D44" s="239">
        <v>2194</v>
      </c>
      <c r="E44" s="135" t="s">
        <v>200</v>
      </c>
      <c r="F44" s="135" t="s">
        <v>223</v>
      </c>
      <c r="G44" s="240">
        <f>400.68+3999.32+(880*4)</f>
        <v>7920</v>
      </c>
      <c r="H44" s="135" t="s">
        <v>231</v>
      </c>
    </row>
    <row r="45" spans="1:10">
      <c r="A45" s="75"/>
      <c r="B45" s="138" t="s">
        <v>190</v>
      </c>
      <c r="C45" s="60" t="s">
        <v>191</v>
      </c>
      <c r="D45" s="239">
        <v>2194</v>
      </c>
      <c r="E45" s="135" t="s">
        <v>222</v>
      </c>
      <c r="F45" s="135" t="s">
        <v>168</v>
      </c>
      <c r="G45" s="240">
        <f>1397.5+1700+1800+1400+1102.5</f>
        <v>7400</v>
      </c>
      <c r="H45" s="135" t="s">
        <v>231</v>
      </c>
    </row>
    <row r="46" spans="1:10">
      <c r="A46" s="75"/>
      <c r="B46" s="138" t="s">
        <v>190</v>
      </c>
      <c r="C46" s="60" t="s">
        <v>191</v>
      </c>
      <c r="D46" s="239">
        <v>2194</v>
      </c>
      <c r="E46" s="135" t="s">
        <v>205</v>
      </c>
      <c r="F46" s="135" t="s">
        <v>223</v>
      </c>
      <c r="G46" s="240">
        <f>876.29+25.8+25.8+25.8+25.8+248.15+2494.5+4549.21+(1558.2*4)+1335.85</f>
        <v>15840.000000000002</v>
      </c>
      <c r="H46" s="135" t="s">
        <v>231</v>
      </c>
    </row>
    <row r="47" spans="1:10">
      <c r="A47" s="75"/>
      <c r="B47" s="138" t="s">
        <v>190</v>
      </c>
      <c r="C47" s="60" t="s">
        <v>191</v>
      </c>
      <c r="D47" s="239">
        <v>2194</v>
      </c>
      <c r="E47" s="242" t="s">
        <v>244</v>
      </c>
      <c r="F47" s="135" t="s">
        <v>223</v>
      </c>
      <c r="G47" s="240">
        <f>1210+3190+880+880+880+880</f>
        <v>7920</v>
      </c>
      <c r="H47" s="135" t="s">
        <v>231</v>
      </c>
    </row>
    <row r="48" spans="1:10">
      <c r="A48" s="75"/>
      <c r="B48" s="83" t="s">
        <v>207</v>
      </c>
      <c r="C48" s="60" t="s">
        <v>197</v>
      </c>
      <c r="D48" s="94">
        <v>2392</v>
      </c>
      <c r="E48" s="192" t="s">
        <v>121</v>
      </c>
      <c r="F48" s="192"/>
      <c r="G48" s="192"/>
      <c r="H48" s="192"/>
    </row>
    <row r="49" spans="1:8">
      <c r="A49" s="108"/>
      <c r="B49" s="83" t="s">
        <v>192</v>
      </c>
      <c r="C49" s="60" t="s">
        <v>193</v>
      </c>
      <c r="D49" s="94">
        <v>2208</v>
      </c>
      <c r="E49" s="107" t="s">
        <v>241</v>
      </c>
      <c r="F49" s="135" t="s">
        <v>168</v>
      </c>
      <c r="G49" s="137">
        <f>(7*4000)+8000</f>
        <v>36000</v>
      </c>
      <c r="H49" s="106" t="s">
        <v>243</v>
      </c>
    </row>
    <row r="50" spans="1:8">
      <c r="A50" s="108"/>
      <c r="B50" s="83" t="s">
        <v>192</v>
      </c>
      <c r="C50" s="60" t="s">
        <v>193</v>
      </c>
      <c r="D50" s="94">
        <v>2208</v>
      </c>
      <c r="E50" s="107" t="s">
        <v>242</v>
      </c>
      <c r="F50" s="135" t="s">
        <v>223</v>
      </c>
      <c r="G50" s="137">
        <f>1500*6</f>
        <v>9000</v>
      </c>
      <c r="H50" s="106" t="s">
        <v>243</v>
      </c>
    </row>
    <row r="51" spans="1:8">
      <c r="A51" s="108"/>
      <c r="B51" s="130" t="s">
        <v>192</v>
      </c>
      <c r="C51" s="60" t="s">
        <v>193</v>
      </c>
      <c r="D51" s="94">
        <v>2208</v>
      </c>
      <c r="E51" s="135" t="s">
        <v>248</v>
      </c>
      <c r="F51" s="135" t="s">
        <v>96</v>
      </c>
      <c r="G51" s="139">
        <v>1500</v>
      </c>
      <c r="H51" s="84" t="s">
        <v>243</v>
      </c>
    </row>
    <row r="52" spans="1:8">
      <c r="A52" s="108"/>
      <c r="B52" s="83" t="s">
        <v>210</v>
      </c>
      <c r="C52" s="60" t="s">
        <v>198</v>
      </c>
      <c r="D52" s="94">
        <v>2241</v>
      </c>
      <c r="E52" s="192" t="s">
        <v>121</v>
      </c>
      <c r="F52" s="192"/>
      <c r="G52" s="192"/>
      <c r="H52" s="192"/>
    </row>
    <row r="53" spans="1:8">
      <c r="A53" s="108"/>
      <c r="B53" s="83" t="s">
        <v>213</v>
      </c>
      <c r="C53" s="60" t="s">
        <v>199</v>
      </c>
      <c r="D53" s="94">
        <v>2419</v>
      </c>
      <c r="E53" s="192" t="s">
        <v>121</v>
      </c>
      <c r="F53" s="192"/>
      <c r="G53" s="192"/>
      <c r="H53" s="192"/>
    </row>
    <row r="54" spans="1:8">
      <c r="A54" s="49" t="s">
        <v>66</v>
      </c>
      <c r="B54" s="50"/>
      <c r="C54" s="50"/>
      <c r="D54" s="50"/>
      <c r="E54" s="50"/>
      <c r="F54" s="51"/>
      <c r="G54" s="51"/>
      <c r="H54" s="51"/>
    </row>
    <row r="55" spans="1:8">
      <c r="A55" s="52" t="s">
        <v>67</v>
      </c>
      <c r="B55" s="46"/>
      <c r="C55" s="46"/>
      <c r="D55" s="46"/>
      <c r="E55" s="46"/>
      <c r="F55" s="23"/>
      <c r="G55" s="23"/>
      <c r="H55" s="23"/>
    </row>
    <row r="56" spans="1:8">
      <c r="A56" s="52" t="s">
        <v>68</v>
      </c>
      <c r="B56" s="46"/>
      <c r="C56" s="46"/>
      <c r="D56" s="46"/>
      <c r="E56" s="46"/>
      <c r="F56" s="23"/>
      <c r="G56" s="23"/>
      <c r="H56" s="23"/>
    </row>
    <row r="57" spans="1:8">
      <c r="A57" s="53" t="s">
        <v>69</v>
      </c>
      <c r="B57" s="23"/>
      <c r="C57" s="23"/>
      <c r="D57" s="23"/>
      <c r="E57" s="23"/>
      <c r="F57" s="23"/>
      <c r="G57" s="23"/>
      <c r="H57" s="23"/>
    </row>
    <row r="58" spans="1:8">
      <c r="A58" s="169" t="s">
        <v>70</v>
      </c>
      <c r="B58" s="170"/>
      <c r="C58" s="170"/>
      <c r="D58" s="170"/>
      <c r="E58" s="170"/>
      <c r="F58" s="170"/>
      <c r="G58" s="170"/>
      <c r="H58" s="170"/>
    </row>
    <row r="59" spans="1:8">
      <c r="A59" s="22" t="s">
        <v>39</v>
      </c>
      <c r="B59" s="136"/>
      <c r="C59" s="23"/>
      <c r="D59" s="23"/>
      <c r="E59" s="23"/>
      <c r="F59" s="23"/>
      <c r="G59" s="23"/>
      <c r="H59" s="23"/>
    </row>
    <row r="60" spans="1:8">
      <c r="A60" s="22"/>
      <c r="B60" s="193" t="s">
        <v>40</v>
      </c>
      <c r="C60" s="193"/>
      <c r="D60" s="193"/>
      <c r="E60" s="194" t="s">
        <v>41</v>
      </c>
      <c r="F60" s="194"/>
      <c r="G60" s="194"/>
      <c r="H60" s="191"/>
    </row>
    <row r="61" spans="1:8">
      <c r="A61" s="22"/>
      <c r="B61" s="93" t="s">
        <v>155</v>
      </c>
      <c r="C61" s="30"/>
      <c r="D61" s="30"/>
      <c r="E61" s="191" t="s">
        <v>138</v>
      </c>
      <c r="F61" s="191"/>
      <c r="G61" s="191"/>
      <c r="H61" s="191"/>
    </row>
    <row r="62" spans="1:8">
      <c r="A62" s="22"/>
      <c r="B62" s="189" t="s">
        <v>156</v>
      </c>
      <c r="C62" s="189"/>
      <c r="D62" s="30" t="s">
        <v>196</v>
      </c>
      <c r="E62" s="191" t="s">
        <v>139</v>
      </c>
      <c r="F62" s="191"/>
      <c r="G62" s="191"/>
      <c r="H62" s="191"/>
    </row>
    <row r="63" spans="1:8">
      <c r="A63" s="55"/>
      <c r="B63" s="47"/>
      <c r="C63" s="48"/>
      <c r="D63" s="48"/>
      <c r="E63" s="48"/>
      <c r="F63" s="48"/>
      <c r="G63" s="48"/>
      <c r="H63" s="48"/>
    </row>
    <row r="64" spans="1:8">
      <c r="A64" s="55"/>
      <c r="B64" s="48"/>
      <c r="C64" s="48"/>
      <c r="D64" s="48"/>
      <c r="E64" s="48"/>
      <c r="F64" s="48"/>
      <c r="G64" s="48"/>
      <c r="H64" s="48"/>
    </row>
    <row r="65" spans="1:8">
      <c r="A65" s="56" t="s">
        <v>76</v>
      </c>
      <c r="B65" s="57"/>
      <c r="C65" s="57"/>
      <c r="D65" s="57"/>
      <c r="E65" s="57"/>
      <c r="F65" s="57"/>
      <c r="G65" s="57"/>
      <c r="H65" s="57"/>
    </row>
  </sheetData>
  <mergeCells count="23">
    <mergeCell ref="A6:C6"/>
    <mergeCell ref="D6:H6"/>
    <mergeCell ref="A1:H1"/>
    <mergeCell ref="A2:H2"/>
    <mergeCell ref="A3:H4"/>
    <mergeCell ref="A5:C5"/>
    <mergeCell ref="D5:H5"/>
    <mergeCell ref="A7:C7"/>
    <mergeCell ref="D7:H7"/>
    <mergeCell ref="A8:C8"/>
    <mergeCell ref="D8:H8"/>
    <mergeCell ref="A9:C9"/>
    <mergeCell ref="D9:H9"/>
    <mergeCell ref="E48:H48"/>
    <mergeCell ref="E10:H10"/>
    <mergeCell ref="A58:H58"/>
    <mergeCell ref="B60:D60"/>
    <mergeCell ref="E60:H60"/>
    <mergeCell ref="E61:H61"/>
    <mergeCell ref="B62:C62"/>
    <mergeCell ref="E62:H62"/>
    <mergeCell ref="E52:H52"/>
    <mergeCell ref="E53:H5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CONTRATOS FUNDEP</vt:lpstr>
      <vt:lpstr>PESSOAL ENVOLVIDO FUNDEP</vt:lpstr>
      <vt:lpstr>CONTRATOS FEPE</vt:lpstr>
      <vt:lpstr>PESSOAL ENVOLVIDO FEPE</vt:lpstr>
      <vt:lpstr>CONTRATOS FCO</vt:lpstr>
      <vt:lpstr>PESSOAL ENVOLVIDO FCO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Lisboa Souza da Silva</dc:creator>
  <cp:lastModifiedBy>     </cp:lastModifiedBy>
  <cp:lastPrinted>2020-02-11T18:37:58Z</cp:lastPrinted>
  <dcterms:created xsi:type="dcterms:W3CDTF">2020-02-04T19:23:57Z</dcterms:created>
  <dcterms:modified xsi:type="dcterms:W3CDTF">2025-02-06T17:52:47Z</dcterms:modified>
</cp:coreProperties>
</file>